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b4ec79b8e41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c2f022fc7e0f4f27"/>
    <x:sheet xmlns:r="http://schemas.openxmlformats.org/officeDocument/2006/relationships" name="Statements" sheetId="2" r:id="Rf6d07c87ff4a426e"/>
    <x:sheet xmlns:r="http://schemas.openxmlformats.org/officeDocument/2006/relationships" name="Assumptions" sheetId="3" r:id="Rbdd1df7c4b7c4afc"/>
    <x:sheet xmlns:r="http://schemas.openxmlformats.org/officeDocument/2006/relationships" name="Operations" sheetId="4" r:id="R6d2bf31d5df44987"/>
    <x:sheet xmlns:r="http://schemas.openxmlformats.org/officeDocument/2006/relationships" name="Working capital" sheetId="5" r:id="R6a932b1c9f444469"/>
    <x:sheet xmlns:r="http://schemas.openxmlformats.org/officeDocument/2006/relationships" name="Assets" sheetId="6" r:id="R8fc52eb5d92c48a2"/>
    <x:sheet xmlns:r="http://schemas.openxmlformats.org/officeDocument/2006/relationships" name="Funding" sheetId="7" r:id="R9018e7212ad14f48"/>
    <x:sheet xmlns:r="http://schemas.openxmlformats.org/officeDocument/2006/relationships" name="History" sheetId="8" r:id="Re9766443ab6f4663"/>
    <x:sheet xmlns:r="http://schemas.openxmlformats.org/officeDocument/2006/relationships" name="Review" sheetId="9" r:id="Rc1ae9baa63874d8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.00;(#,##0.00);&quot;—&quot;"/>
    <x:numFmt numFmtId="201" formatCode="0"/>
    <x:numFmt numFmtId="202" formatCode="0.000"/>
    <x:numFmt numFmtId="203" formatCode="0.0%;(0.0%);&quot;—&quot;"/>
    <x:numFmt numFmtId="204" formatCode="0.0000;(0.0000);&quot;—&quot;"/>
  </x:numFmts>
  <x:fonts count="11">
    <x:font>
      <x:sz val="11"/>
      <x:name val="Carlito"/>
    </x:font>
    <x:font>
      <x:sz val="11"/>
      <x:color rgb="FF243D37"/>
      <x:name val="Arial"/>
    </x:font>
    <x:font>
      <x:sz val="11"/>
      <x:color rgb="FF18734D"/>
      <x:name val="Arial"/>
    </x:font>
    <x:font>
      <x:b/>
      <x:sz val="19"/>
      <x:color rgb="FFFFFFFF"/>
      <x:name val="Arial"/>
    </x:font>
    <x:font>
      <x:i/>
      <x:sz val="10"/>
      <x:color rgb="FF57756D"/>
      <x:name val="Arial"/>
    </x:font>
    <x:font>
      <x:sz val="9"/>
      <x:color rgb="FF667C75"/>
      <x:name val="Arial"/>
    </x:font>
    <x:font>
      <x:sz val="11"/>
      <x:color rgb="FF2359A5"/>
      <x:name val="Arial"/>
    </x:font>
    <x:font>
      <x:b/>
      <x:sz val="11"/>
      <x:color rgb="FF243D37"/>
      <x:name val="Arial"/>
    </x:font>
    <x:font>
      <x:b/>
      <x:sz val="11"/>
      <x:color rgb="FF18734D"/>
      <x:name val="Arial"/>
    </x:font>
    <x:font>
      <x:sz val="12"/>
      <x:color rgb="FF243D37"/>
      <x:name val="Arial"/>
    </x:font>
    <x:font>
      <x:b/>
      <x:sz val="18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6473E"/>
      </x:patternFill>
    </x:fill>
    <x:fill>
      <x:patternFill patternType="solid">
        <x:fgColor rgb="FFDFEBE6"/>
      </x:patternFill>
    </x:fill>
    <x:fill>
      <x:patternFill patternType="solid">
        <x:fgColor rgb="FFFFF1D5"/>
      </x:patternFill>
    </x:fill>
    <x:fill>
      <x:patternFill patternType="solid">
        <x:fgColor rgb="FFFFF4CB"/>
      </x:patternFill>
    </x:fill>
  </x:fills>
  <x:borders count="3">
    <x:border/>
    <x:border>
      <x:bottom style="thin">
        <x:color rgb="FF6D9084"/>
      </x:bottom>
    </x:border>
    <x:border>
      <x:top style="thin">
        <x:color rgb="FF9FB9AD"/>
      </x:top>
    </x:border>
  </x:borders>
  <x:cellStyleXfs count="1">
    <x:xf numFmtId="0" fontId="0" fillId="0" borderId="0"/>
  </x:cellStyleXfs>
  <x:cellXfs count="51">
    <x:xf numFmtId="0" fontId="0" fillId="0" borderId="0" xfId="0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/>
    <x:xf numFmtId="20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4" fillId="0" borderId="0" xfId="0" applyNumberFormat="1" applyFont="1" applyFill="1" applyBorder="1"/>
    <x:xf numFmtId="0" fontId="2" fillId="3" borderId="0" xfId="0" applyNumberFormat="1" applyFont="1" applyFill="1" applyBorder="1"/>
    <x:xf numFmtId="0" fontId="1" fillId="0" borderId="1" xfId="0" applyNumberFormat="1" applyFont="1" applyFill="1" applyBorder="1"/>
    <x:xf numFmtId="200" fontId="1" fillId="0" borderId="1" xfId="0" applyNumberFormat="1" applyFont="1" applyFill="1" applyBorder="1"/>
    <x:xf numFmtId="200" fontId="2" fillId="0" borderId="1" xfId="0" applyNumberFormat="1" applyFont="1" applyFill="1" applyBorder="1"/>
    <x:xf numFmtId="201" fontId="2" fillId="0" borderId="1" xfId="0" applyNumberFormat="1" applyFont="1" applyFill="1" applyBorder="1"/>
    <x:xf numFmtId="200" fontId="5" fillId="0" borderId="0" xfId="0" applyNumberFormat="1" applyFont="1" applyFill="1" applyBorder="1"/>
    <x:xf numFmtId="200" fontId="6" fillId="0" borderId="0" xfId="0" applyNumberFormat="1" applyFont="1" applyFill="1" applyBorder="1"/>
    <x:xf numFmtId="200" fontId="6" fillId="0" borderId="1" xfId="0" applyNumberFormat="1" applyFont="1" applyFill="1" applyBorder="1"/>
    <x:xf numFmtId="201" fontId="1" fillId="0" borderId="1" xfId="0" applyNumberFormat="1" applyFont="1" applyFill="1" applyBorder="1"/>
    <x:xf numFmtId="0" fontId="7" fillId="0" borderId="0" xfId="0" applyNumberFormat="1" applyFont="1" applyFill="1" applyBorder="1"/>
    <x:xf numFmtId="200" fontId="7" fillId="0" borderId="0" xfId="0" applyNumberFormat="1" applyFont="1" applyFill="1" applyBorder="1"/>
    <x:xf numFmtId="200" fontId="8" fillId="0" borderId="0" xfId="0" applyNumberFormat="1" applyFont="1" applyFill="1" applyBorder="1"/>
    <x:xf numFmtId="0" fontId="7" fillId="0" borderId="2" xfId="0" applyNumberFormat="1" applyFont="1" applyFill="1" applyBorder="1"/>
    <x:xf numFmtId="200" fontId="7" fillId="0" borderId="2" xfId="0" applyNumberFormat="1" applyFont="1" applyFill="1" applyBorder="1"/>
    <x:xf numFmtId="200" fontId="8" fillId="0" borderId="2" xfId="0" applyNumberFormat="1" applyFont="1" applyFill="1" applyBorder="1"/>
    <x:xf numFmtId="201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wrapText="1"/>
    </x:xf>
    <x:xf numFmtId="200" fontId="1" fillId="4" borderId="0" xfId="0" applyNumberFormat="1" applyFont="1" applyFill="1" applyBorder="1" applyAlignment="1">
      <x:alignment wrapText="1"/>
    </x:xf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0" fontId="6" fillId="5" borderId="0" xfId="0" applyNumberFormat="1" applyFont="1" applyFill="1" applyBorder="1"/>
    <x:xf numFmtId="20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200" fontId="6" fillId="5" borderId="0" xfId="0" applyNumberFormat="1" applyFont="1" applyFill="1" applyBorder="1" applyAlignment="1">
      <x:alignment wrapText="1"/>
    </x:xf>
    <x:xf numFmtId="202" fontId="2" fillId="0" borderId="0" xfId="0" applyNumberFormat="1" applyFont="1" applyFill="1" applyBorder="1"/>
    <x:xf numFmtId="200" fontId="6" fillId="5" borderId="1" xfId="0" applyNumberFormat="1" applyFont="1" applyFill="1" applyBorder="1"/>
    <x:xf numFmtId="201" fontId="6" fillId="5" borderId="0" xfId="0" applyNumberFormat="1" applyFont="1" applyFill="1" applyBorder="1"/>
    <x:xf numFmtId="203" fontId="6" fillId="5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0" fontId="7" fillId="3" borderId="0" xfId="0" applyNumberFormat="1" applyFont="1" applyFill="1" applyBorder="1"/>
    <x:xf numFmtId="200" fontId="7" fillId="3" borderId="0" xfId="0" applyNumberFormat="1" applyFont="1" applyFill="1" applyBorder="1"/>
    <x:xf numFmtId="203" fontId="7" fillId="3" borderId="0" xfId="0" applyNumberFormat="1" applyFont="1" applyFill="1" applyBorder="1"/>
    <x:xf numFmtId="201" fontId="1" fillId="0" borderId="0" xfId="0" applyNumberFormat="1" applyFont="1" applyFill="1" applyBorder="1"/>
    <x:xf numFmtId="201" fontId="6" fillId="0" borderId="0" xfId="0" applyNumberFormat="1" applyFont="1" applyFill="1" applyBorder="1"/>
    <x:xf numFmtId="204" fontId="2" fillId="0" borderId="0" xfId="0" applyNumberFormat="1" applyFont="1" applyFill="1" applyBorder="1"/>
    <x:xf numFmtId="204" fontId="1" fillId="0" borderId="0" xfId="0" applyNumberFormat="1" applyFont="1" applyFill="1" applyBorder="1"/>
    <x:xf numFmtId="0" fontId="9" fillId="0" borderId="0" xfId="0" applyNumberFormat="1" applyFont="1" applyFill="1" applyBorder="1"/>
    <x:xf numFmtId="0" fontId="9" fillId="0" borderId="0" xfId="0" applyNumberFormat="1" applyFont="1" applyFill="1" applyBorder="1" applyAlignment="1">
      <x:alignment wrapText="1"/>
    </x:xf>
    <x:xf numFmtId="0" fontId="9" fillId="2" borderId="0" xfId="0" applyNumberFormat="1" applyFont="1" applyFill="1" applyBorder="1" applyAlignment="1">
      <x:alignment wrapText="1"/>
    </x:xf>
    <x:xf numFmtId="0" fontId="10" fillId="2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b/>
        <x:color rgb="FF9D2F15"/>
      </x:font>
      <x:fill>
        <x:patternFill patternType="solid">
          <x:bgColor rgb="FFFDE6D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19c290786444ff" /><Relationship Type="http://schemas.openxmlformats.org/officeDocument/2006/relationships/theme" Target="/xl/theme/theme1.xml" Id="R604d83d61a8e4617" /><Relationship Type="http://schemas.openxmlformats.org/officeDocument/2006/relationships/sharedStrings" Target="/xl/sharedStrings.xml" Id="R694ac2c6fd7c4d65" /><Relationship Type="http://schemas.openxmlformats.org/officeDocument/2006/relationships/worksheet" Target="/xl/worksheets/sheet1.xml" Id="Rc2f022fc7e0f4f27" /><Relationship Type="http://schemas.openxmlformats.org/officeDocument/2006/relationships/worksheet" Target="/xl/worksheets/sheet2.xml" Id="Rf6d07c87ff4a426e" /><Relationship Type="http://schemas.openxmlformats.org/officeDocument/2006/relationships/worksheet" Target="/xl/worksheets/sheet3.xml" Id="Rbdd1df7c4b7c4afc" /><Relationship Type="http://schemas.openxmlformats.org/officeDocument/2006/relationships/worksheet" Target="/xl/worksheets/sheet4.xml" Id="R6d2bf31d5df44987" /><Relationship Type="http://schemas.openxmlformats.org/officeDocument/2006/relationships/worksheet" Target="/xl/worksheets/sheet5.xml" Id="R6a932b1c9f444469" /><Relationship Type="http://schemas.openxmlformats.org/officeDocument/2006/relationships/worksheet" Target="/xl/worksheets/sheet6.xml" Id="R8fc52eb5d92c48a2" /><Relationship Type="http://schemas.openxmlformats.org/officeDocument/2006/relationships/worksheet" Target="/xl/worksheets/sheet7.xml" Id="R9018e7212ad14f48" /><Relationship Type="http://schemas.openxmlformats.org/officeDocument/2006/relationships/worksheet" Target="/xl/worksheets/sheet8.xml" Id="Re9766443ab6f4663" /><Relationship Type="http://schemas.openxmlformats.org/officeDocument/2006/relationships/worksheet" Target="/xl/worksheets/sheet9.xml" Id="Rc1ae9baa63874d8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2" max="2" width="4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28" customHeight="1">
      <x:c r="B1" s="47"/>
      <x:c r="C1" s="47"/>
      <x:c r="D1" s="47"/>
      <x:c r="E1" s="47"/>
      <x:c r="F1" s="47"/>
      <x:c r="G1" s="47"/>
      <x:c r="H1" s="47"/>
    </x:row>
    <x:row r="2" ht="28" customHeight="1">
      <x:c r="B2" s="47"/>
      <x:c r="C2" s="50" t="str">
        <x:v>Atlas Filtration • F07 integrated three-statement modelling</x:v>
      </x:c>
      <x:c r="D2" s="50"/>
      <x:c r="E2" s="50"/>
      <x:c r="F2" s="50"/>
      <x:c r="G2" s="50"/>
      <x:c r="H2" s="50"/>
    </x:row>
    <x:row r="3" ht="28" customHeight="1">
      <x:c r="B3" s="47"/>
      <x:c r="C3" s="50"/>
      <x:c r="D3" s="50"/>
      <x:c r="E3" s="50"/>
      <x:c r="F3" s="50"/>
      <x:c r="G3" s="50"/>
      <x:c r="H3" s="50"/>
    </x:row>
    <x:row r="4" ht="28" customHeight="1">
      <x:c r="B4" s="47"/>
      <x:c r="C4" s="47"/>
      <x:c r="D4" s="47"/>
      <x:c r="E4" s="47"/>
      <x:c r="F4" s="47"/>
      <x:c r="G4" s="47"/>
      <x:c r="H4" s="47"/>
    </x:row>
    <x:row r="5" ht="28" customHeight="1">
      <x:c r="B5" s="47"/>
      <x:c r="C5" s="48" t="str">
        <x:v>Decision: can the operating plan maintain the annual closing-cash floor within committed funding?</x:v>
      </x:c>
      <x:c r="D5" s="48"/>
      <x:c r="E5" s="48"/>
      <x:c r="F5" s="48"/>
      <x:c r="G5" s="48"/>
      <x:c r="H5" s="48"/>
    </x:row>
    <x:row r="6" ht="28" customHeight="1">
      <x:c r="B6" s="47"/>
      <x:c r="C6" s="48"/>
      <x:c r="D6" s="48"/>
      <x:c r="E6" s="48"/>
      <x:c r="F6" s="48"/>
      <x:c r="G6" s="48"/>
      <x:c r="H6" s="48"/>
    </x:row>
    <x:row r="7" ht="28" customHeight="1">
      <x:c r="B7" s="47"/>
      <x:c r="C7" s="47"/>
      <x:c r="D7" s="47"/>
      <x:c r="E7" s="47"/>
      <x:c r="F7" s="47"/>
      <x:c r="G7" s="47"/>
      <x:c r="H7" s="47"/>
    </x:row>
    <x:row r="8" ht="28" customHeight="1">
      <x:c r="B8" s="47"/>
      <x:c r="C8" s="48" t="str">
        <x:v>1. Reconcile History, then open Assumptions. Blue numbers in yellow cells are inputs. Green formulas link sheets; dark formulas calculate locally.</x:v>
      </x:c>
      <x:c r="D8" s="48"/>
      <x:c r="E8" s="48"/>
      <x:c r="F8" s="48"/>
      <x:c r="G8" s="48"/>
      <x:c r="H8" s="48"/>
    </x:row>
    <x:row r="9" ht="28" customHeight="1">
      <x:c r="B9" s="47"/>
      <x:c r="C9" s="48"/>
      <x:c r="D9" s="48"/>
      <x:c r="E9" s="48"/>
      <x:c r="F9" s="48"/>
      <x:c r="G9" s="48"/>
      <x:c r="H9" s="48"/>
    </x:row>
    <x:row r="10" ht="28" customHeight="1">
      <x:c r="B10" s="47"/>
      <x:c r="C10" s="47"/>
      <x:c r="D10" s="47"/>
      <x:c r="E10" s="47"/>
      <x:c r="F10" s="47"/>
      <x:c r="G10" s="47"/>
      <x:c r="H10" s="47"/>
    </x:row>
    <x:row r="11" ht="28" customHeight="1">
      <x:c r="B11" s="47"/>
      <x:c r="C11" s="48" t="str">
        <x:v>2. Build Operations → Working capital → Assets → Funding → Statements. Interest uses opening term debt plus opening revolver, so no iteration is required.</x:v>
      </x:c>
      <x:c r="D11" s="48"/>
      <x:c r="E11" s="48"/>
      <x:c r="F11" s="48"/>
      <x:c r="G11" s="48"/>
      <x:c r="H11" s="48"/>
    </x:row>
    <x:row r="12" ht="28" customHeight="1">
      <x:c r="B12" s="47"/>
      <x:c r="C12" s="48"/>
      <x:c r="D12" s="48"/>
      <x:c r="E12" s="48"/>
      <x:c r="F12" s="48"/>
      <x:c r="G12" s="48"/>
      <x:c r="H12" s="48"/>
    </x:row>
    <x:row r="13" ht="28" customHeight="1">
      <x:c r="B13" s="47"/>
      <x:c r="C13" s="47"/>
      <x:c r="D13" s="47"/>
      <x:c r="E13" s="47"/>
      <x:c r="F13" s="47"/>
      <x:c r="G13" s="47"/>
      <x:c r="H13" s="47"/>
    </x:row>
    <x:row r="14" ht="28" customHeight="1">
      <x:c r="B14" s="47"/>
      <x:c r="C14" s="48" t="str">
        <x:v>3. Costs, capex and distributions are positive inputs. Cash flows carry their actual signs. USD thousands; volume is thousand units, price is USD per unit.</x:v>
      </x:c>
      <x:c r="D14" s="48"/>
      <x:c r="E14" s="48"/>
      <x:c r="F14" s="48"/>
      <x:c r="G14" s="48"/>
      <x:c r="H14" s="48"/>
    </x:row>
    <x:row r="15" ht="28" customHeight="1">
      <x:c r="B15" s="47"/>
      <x:c r="C15" s="48"/>
      <x:c r="D15" s="48"/>
      <x:c r="E15" s="48"/>
      <x:c r="F15" s="48"/>
      <x:c r="G15" s="48"/>
      <x:c r="H15" s="48"/>
    </x:row>
    <x:row r="16" ht="28" customHeight="1">
      <x:c r="B16" s="47"/>
      <x:c r="C16" s="47"/>
      <x:c r="D16" s="47"/>
      <x:c r="E16" s="47"/>
      <x:c r="F16" s="47"/>
      <x:c r="G16" s="47"/>
      <x:c r="H16" s="47"/>
    </x:row>
    <x:row r="17" ht="28" customHeight="1">
      <x:c r="B17" s="47"/>
      <x:c r="C17" s="48" t="str">
        <x:v>4. Year-end capex starts depreciating the following year. Existing net assets form a remaining-life pool. No disposals, impairments, leases, deferred tax or loss carryforwards.</x:v>
      </x:c>
      <x:c r="D17" s="48"/>
      <x:c r="E17" s="48"/>
      <x:c r="F17" s="48"/>
      <x:c r="G17" s="48"/>
      <x:c r="H17" s="48"/>
    </x:row>
    <x:row r="18" ht="28" customHeight="1">
      <x:c r="B18" s="47"/>
      <x:c r="C18" s="48"/>
      <x:c r="D18" s="48"/>
      <x:c r="E18" s="48"/>
      <x:c r="F18" s="48"/>
      <x:c r="G18" s="48"/>
      <x:c r="H18" s="48"/>
    </x:row>
    <x:row r="19" ht="28" customHeight="1">
      <x:c r="B19" s="47"/>
      <x:c r="C19" s="47"/>
      <x:c r="D19" s="47"/>
      <x:c r="E19" s="47"/>
      <x:c r="F19" s="47"/>
      <x:c r="G19" s="47"/>
      <x:c r="H19" s="47"/>
    </x:row>
    <x:row r="20" ht="28" customHeight="1">
      <x:c r="B20" s="47"/>
      <x:c r="C20" s="48" t="str">
        <x:v>5. Tax is charged only on positive pretax income; the unpaid share creates tax payable. Equity issuance is cash received only when committed in the case.</x:v>
      </x:c>
      <x:c r="D20" s="48"/>
      <x:c r="E20" s="48"/>
      <x:c r="F20" s="48"/>
      <x:c r="G20" s="48"/>
      <x:c r="H20" s="48"/>
    </x:row>
    <x:row r="21" ht="28" customHeight="1">
      <x:c r="B21" s="47"/>
      <x:c r="C21" s="48"/>
      <x:c r="D21" s="48"/>
      <x:c r="E21" s="48"/>
      <x:c r="F21" s="48"/>
      <x:c r="G21" s="48"/>
      <x:c r="H21" s="48"/>
    </x:row>
    <x:row r="22" ht="28" customHeight="1">
      <x:c r="B22" s="47"/>
      <x:c r="C22" s="47"/>
      <x:c r="D22" s="47"/>
      <x:c r="E22" s="47"/>
      <x:c r="F22" s="47"/>
      <x:c r="G22" s="47"/>
      <x:c r="H22" s="47"/>
    </x:row>
    <x:row r="23" ht="28" customHeight="1">
      <x:c r="B23" s="47"/>
      <x:c r="C23" s="48" t="str">
        <x:v>6. Funding order: mandatory principal → capped revolver draw / repayment → term cash sweep. A negative cash figure is an unfunded residual, never a usable overdraft.</x:v>
      </x:c>
      <x:c r="D23" s="48"/>
      <x:c r="E23" s="48"/>
      <x:c r="F23" s="48"/>
      <x:c r="G23" s="48"/>
      <x:c r="H23" s="48"/>
    </x:row>
    <x:row r="24" ht="28" customHeight="1">
      <x:c r="B24" s="47"/>
      <x:c r="C24" s="48"/>
      <x:c r="D24" s="48"/>
      <x:c r="E24" s="48"/>
      <x:c r="F24" s="48"/>
      <x:c r="G24" s="48"/>
      <x:c r="H24" s="48"/>
    </x:row>
    <x:row r="25" ht="28" customHeight="1">
      <x:c r="B25" s="47"/>
      <x:c r="C25" s="47"/>
      <x:c r="D25" s="47"/>
      <x:c r="E25" s="47"/>
      <x:c r="F25" s="47"/>
      <x:c r="G25" s="47"/>
      <x:c r="H25" s="47"/>
    </x:row>
    <x:row r="26" ht="28" customHeight="1">
      <x:c r="B26" s="47"/>
      <x:c r="C26" s="48" t="str">
        <x:v>7. Switch Base / Downside / Upside; change first-year receivables from 15% to 25% in Ridgeway; increase capex by 60; extend horizon 3 → 5. Restore each input and explain propagation.</x:v>
      </x:c>
      <x:c r="D26" s="48"/>
      <x:c r="E26" s="48"/>
      <x:c r="F26" s="48"/>
      <x:c r="G26" s="48"/>
      <x:c r="H26" s="48"/>
    </x:row>
    <x:row r="27" ht="28" customHeight="1">
      <x:c r="B27" s="47"/>
      <x:c r="C27" s="48"/>
      <x:c r="D27" s="48"/>
      <x:c r="E27" s="48"/>
      <x:c r="F27" s="48"/>
      <x:c r="G27" s="48"/>
      <x:c r="H27" s="48"/>
    </x:row>
    <x:row r="28" ht="28" customHeight="1">
      <x:c r="B28" s="47"/>
      <x:c r="C28" s="47"/>
      <x:c r="D28" s="47"/>
      <x:c r="E28" s="47"/>
      <x:c r="F28" s="47"/>
      <x:c r="G28" s="47"/>
      <x:c r="H28" s="47"/>
    </x:row>
    <x:row r="29" ht="28" customHeight="1">
      <x:c r="B29" s="47"/>
      <x:c r="C29" s="48" t="str">
        <x:v>8. Test four faults one at a time: reverse the AR cash sign; omit depreciation in EBIT; break retained earnings; remove the facility cap from draws. Review must flag each; repair and retest.</x:v>
      </x:c>
      <x:c r="D29" s="48"/>
      <x:c r="E29" s="48"/>
      <x:c r="F29" s="48"/>
      <x:c r="G29" s="48"/>
      <x:c r="H29" s="48"/>
    </x:row>
    <x:row r="30" ht="28" customHeight="1">
      <x:c r="B30" s="47"/>
      <x:c r="C30" s="48"/>
      <x:c r="D30" s="48"/>
      <x:c r="E30" s="48"/>
      <x:c r="F30" s="48"/>
      <x:c r="G30" s="48"/>
      <x:c r="H30" s="48"/>
    </x:row>
    <x:row r="31" ht="28" customHeight="1">
      <x:c r="B31" s="47"/>
      <x:c r="C31" s="47"/>
      <x:c r="D31" s="47"/>
      <x:c r="E31" s="47"/>
      <x:c r="F31" s="47"/>
      <x:c r="G31" s="47"/>
      <x:c r="H31" s="47"/>
    </x:row>
    <x:row r="32" ht="28" customHeight="1">
      <x:c r="B32" s="47"/>
      <x:c r="C32" s="48" t="str">
        <x:v>9. Review reconciliations and funding capacity separately. Complete the funding recommendation and handoff on Statements. These written judgments require self-review or a named reviewer.</x:v>
      </x:c>
      <x:c r="D32" s="48"/>
      <x:c r="E32" s="48"/>
      <x:c r="F32" s="48"/>
      <x:c r="G32" s="48"/>
      <x:c r="H32" s="48"/>
    </x:row>
    <x:row r="33" ht="28" customHeight="1">
      <x:c r="B33" s="47"/>
      <x:c r="C33" s="48"/>
      <x:c r="D33" s="48"/>
      <x:c r="E33" s="48"/>
      <x:c r="F33" s="48"/>
      <x:c r="G33" s="48"/>
      <x:c r="H33" s="48"/>
    </x:row>
    <x:row r="34" ht="28" customHeight="1">
      <x:c r="B34" s="47"/>
      <x:c r="C34" s="47"/>
      <x:c r="D34" s="47"/>
      <x:c r="E34" s="47"/>
      <x:c r="F34" s="47"/>
      <x:c r="G34" s="47"/>
      <x:c r="H34" s="47"/>
    </x:row>
    <x:row r="35" ht="28" customHeight="1">
      <x:c r="B35" s="47"/>
      <x:c r="C35" s="48" t="str">
        <x:v>Assessment: build the labelled blank schedule cells. Supplied assumptions and opening balances remain. Compare with the separate Atlas solution only after attempting the case.</x:v>
      </x:c>
      <x:c r="D35" s="48"/>
      <x:c r="E35" s="48"/>
      <x:c r="F35" s="48"/>
      <x:c r="G35" s="48"/>
      <x:c r="H35" s="48"/>
    </x:row>
    <x:row r="36" ht="28" customHeight="1">
      <x:c r="B36" s="47"/>
      <x:c r="C36" s="48"/>
      <x:c r="D36" s="48"/>
      <x:c r="E36" s="48"/>
      <x:c r="F36" s="48"/>
      <x:c r="G36" s="48"/>
      <x:c r="H36" s="48"/>
    </x:row>
    <x:row r="37" ht="28" customHeight="1">
      <x:c r="B37" s="47"/>
      <x:c r="C37" s="47"/>
      <x:c r="D37" s="47"/>
      <x:c r="E37" s="47"/>
      <x:c r="F37" s="47"/>
      <x:c r="G37" s="47"/>
      <x:c r="H37" s="47"/>
    </x:row>
    <x:row r="38" ht="28" customHeight="1">
      <x:c r="B38" s="47"/>
      <x:c r="C38" s="48" t="str">
        <x:v>Forecast convention: all five years calculate; the horizon selects the decision summary and labels active columns. Extending it does not liquidate balances. Annual totals do not test monthly cash peaks.</x:v>
      </x:c>
      <x:c r="D38" s="48"/>
      <x:c r="E38" s="48"/>
      <x:c r="F38" s="48"/>
      <x:c r="G38" s="48"/>
      <x:c r="H38" s="48"/>
    </x:row>
    <x:row r="39" ht="28" customHeight="1">
      <x:c r="B39" s="47"/>
      <x:c r="C39" s="48"/>
      <x:c r="D39" s="48"/>
      <x:c r="E39" s="48"/>
      <x:c r="F39" s="48"/>
      <x:c r="G39" s="48"/>
      <x:c r="H39" s="48"/>
    </x:row>
    <x:row r="40" ht="28" customHeight="1">
      <x:c r="B40" s="47"/>
      <x:c r="C40" s="47"/>
      <x:c r="D40" s="47"/>
      <x:c r="E40" s="47"/>
      <x:c r="F40" s="47"/>
      <x:c r="G40" s="47"/>
      <x:c r="H40" s="47"/>
    </x:row>
    <x:row r="41" ht="28" customHeight="1">
      <x:c r="B41" s="47"/>
      <x:c r="C41" s="48" t="str">
        <x:v>Original fictional source: FinX Academy F07 v1.0, 10 Oct 2026. Lessons and case files: finxacademy.org/blog/integrated-three-statement-modelling. Try on finxacademy.org.</x:v>
      </x:c>
      <x:c r="D41" s="48"/>
      <x:c r="E41" s="48"/>
      <x:c r="F41" s="48"/>
      <x:c r="G41" s="48"/>
      <x:c r="H41" s="48"/>
    </x:row>
    <x:row r="42" ht="28" customHeight="1">
      <x:c r="B42" s="47"/>
      <x:c r="C42" s="48"/>
      <x:c r="D42" s="48"/>
      <x:c r="E42" s="48"/>
      <x:c r="F42" s="48"/>
      <x:c r="G42" s="48"/>
      <x:c r="H42" s="48"/>
    </x:row>
    <x:row r="43" ht="28" customHeight="1">
      <x:c r="B43" s="47"/>
      <x:c r="C43" s="47"/>
      <x:c r="D43" s="47"/>
      <x:c r="E43" s="47"/>
      <x:c r="F43" s="47"/>
      <x:c r="G43" s="47"/>
      <x:c r="H43" s="47"/>
    </x:row>
    <x:row r="44" ht="28" customHeight="1">
      <x:c r="B44" s="47"/>
      <x:c r="C44" s="47"/>
      <x:c r="D44" s="47"/>
      <x:c r="E44" s="47"/>
      <x:c r="F44" s="47"/>
      <x:c r="G44" s="47"/>
      <x:c r="H44" s="47"/>
    </x:row>
    <x:row r="45" ht="28" customHeight="1">
      <x:c r="B45" s="47"/>
      <x:c r="C45" s="47"/>
      <x:c r="D45" s="47"/>
      <x:c r="E45" s="47"/>
      <x:c r="F45" s="47"/>
      <x:c r="G45" s="47"/>
      <x:c r="H45" s="47"/>
    </x:row>
  </x:sheetData>
  <x:mergeCells>
    <x:mergeCell ref="C2:H3"/>
    <x:mergeCell ref="C5:H6"/>
    <x:mergeCell ref="C8:H9"/>
    <x:mergeCell ref="C11:H12"/>
    <x:mergeCell ref="C14:H15"/>
    <x:mergeCell ref="C17:H18"/>
    <x:mergeCell ref="C20:H21"/>
    <x:mergeCell ref="C23:H24"/>
    <x:mergeCell ref="C26:H27"/>
    <x:mergeCell ref="C29:H30"/>
    <x:mergeCell ref="C32:H33"/>
    <x:mergeCell ref="C35:H36"/>
    <x:mergeCell ref="C38:H39"/>
    <x:mergeCell ref="C41:H4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6473E"/>
  </x:sheetPr>
  <x:sheetViews>
    <x:sheetView showGridLines="0" workbookViewId="0">
      <x:pane xSplit="4" ySplit="9" topLeftCell="E10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43" hidden="0" customWidth="1"/>
    <x:col min="4" max="4" width="19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44" customHeight="1">
      <x:c r="A2" s="1"/>
      <x:c r="B2" s="1"/>
      <x:c r="C2" s="6" t="str">
        <x:v>Atlas Filtration funding forecast</x:v>
      </x:c>
      <x:c r="D2" s="6"/>
      <x:c r="E2" s="6"/>
      <x:c r="F2" s="6"/>
      <x:c r="G2" s="6"/>
      <x:c r="H2" s="6"/>
      <x:c r="I2" s="6"/>
      <x:c r="J2" s="1"/>
    </x:row>
    <x:row r="3" ht="25" customHeight="1">
      <x:c r="A3" s="1"/>
      <x:c r="B3" s="1"/>
      <x:c r="C3" s="1" t="str">
        <x:v>Selected case</x:v>
      </x:c>
      <x:c r="D3" s="8" t="str">
        <x:f>IFERROR(IFERROR(CHOOSE('Assumptions'!$D$6,"Base","Downside","Upside"),"Invalid case"),"Incomplete")</x:f>
        <x:v>Base</x:v>
      </x:c>
      <x:c r="E3" s="1"/>
      <x:c r="F3" s="1"/>
      <x:c r="G3" s="1"/>
      <x:c r="H3" s="1"/>
      <x:c r="I3" s="1"/>
      <x:c r="J3" s="1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25" customHeight="1">
      <x:c r="A5" s="1"/>
      <x:c r="B5" s="1"/>
      <x:c r="C5" s="7" t="str">
        <x:v>USD thousands unless stated</x:v>
      </x:c>
      <x:c r="D5" s="7"/>
      <x:c r="E5" s="7"/>
      <x:c r="F5" s="7"/>
      <x:c r="G5" s="7"/>
      <x:c r="H5" s="7"/>
      <x:c r="I5" s="7"/>
      <x:c r="J5" s="1"/>
    </x:row>
    <x:row r="6" ht="25" customHeight="1">
      <x:c r="A6" s="1"/>
      <x:c r="B6" s="1"/>
      <x:c r="C6" s="1" t="str">
        <x:v>Horizon years</x:v>
      </x:c>
      <x:c r="D6" s="23" t="n">
        <x:f>IFERROR('Assumptions'!$D$7,"Incomplete")</x:f>
        <x:v>3</x:v>
      </x:c>
      <x:c r="E6" s="2"/>
      <x:c r="F6" s="2"/>
      <x:c r="G6" s="2"/>
      <x:c r="H6" s="2"/>
      <x:c r="I6" s="2"/>
      <x:c r="J6" s="1"/>
    </x:row>
    <x:row r="7" ht="25" customHeight="1">
      <x:c r="A7" s="1"/>
      <x:c r="B7" s="1"/>
      <x:c r="C7" s="1" t="str">
        <x:v>Build completeness</x:v>
      </x:c>
      <x:c r="D7" s="2"/>
      <x:c r="E7" s="4" t="str">
        <x:f>IFERROR(IF(COUNT('Operations'!E10,'Operations'!E11,'Operations'!E12,'Operations'!E13,'Operations'!E14,'Operations'!E15,'Operations'!E16,'Operations'!E17,'Operations'!E18,'Operations'!E19,'Operations'!E20,'Operations'!E21,'Operations'!E22,'Operations'!E23,'Operations'!E24,'Working capital'!E10,'Working capital'!E11,'Working capital'!E12,'Working capital'!E13,'Working capital'!E14,'Working capital'!E15,'Working capital'!E16,'Working capital'!E17,'Working capital'!E18,'Working capital'!E19,'Working capital'!E20,'Working capital'!E22,'Working capital'!E23,'Working capital'!E24,'Working capital'!E25,'Assets'!E10,'Assets'!E11,'Assets'!E12,'Assets'!E13,'Assets'!E14,'Assets'!E15,'Assets'!E16,'Assets'!E18,'Assets'!E19,'Assets'!E20,'Assets'!E21,'Assets'!E22,'Assets'!E23,'Assets'!E24,'Assets'!E27,'Assets'!E28,'Assets'!E29,'Assets'!E30,'Assets'!E31,'Assets'!E32,'Assets'!E35,'Assets'!E36,'Assets'!E37,'Assets'!E38,'Assets'!E39,'Assets'!E40,'Funding'!E10,'Funding'!E11,'Funding'!E12,'Funding'!E13,'Funding'!E14,'Funding'!E15,'Funding'!E16,'Funding'!E17,'Funding'!E18,'Funding'!E19,'Funding'!E20,'Funding'!E21,'Funding'!E22,'Funding'!E23,'Funding'!E24,'Funding'!E25,'Funding'!E26,'Funding'!E27,'Funding'!E28,'Funding'!E29,'Funding'!E30,'Funding'!E31,'Funding'!E32,'Funding'!E33,'Funding'!E34,'Funding'!E35,'Funding'!E36,'Funding'!E37,'Funding'!E38,'Funding'!E39,'Funding'!E40,'Funding'!E41,'Funding'!E42,'Funding'!E43)=90,"Calculated","Incomplete"),"Incomplete")</x:f>
        <x:v>Calculated</x:v>
      </x:c>
      <x:c r="F7" s="4" t="str">
        <x:f>IFERROR(IF(COUNT('Operations'!F10,'Operations'!F11,'Operations'!F12,'Operations'!F13,'Operations'!F14,'Operations'!F15,'Operations'!F16,'Operations'!F17,'Operations'!F18,'Operations'!F19,'Operations'!F20,'Operations'!F21,'Operations'!F22,'Operations'!F23,'Operations'!F24,'Working capital'!F10,'Working capital'!F11,'Working capital'!F12,'Working capital'!F13,'Working capital'!F14,'Working capital'!F15,'Working capital'!F16,'Working capital'!F17,'Working capital'!F18,'Working capital'!F19,'Working capital'!F20,'Working capital'!F22,'Working capital'!F23,'Working capital'!F24,'Working capital'!F25,'Assets'!F10,'Assets'!F11,'Assets'!F12,'Assets'!F13,'Assets'!F14,'Assets'!F15,'Assets'!F16,'Assets'!F18,'Assets'!F19,'Assets'!F20,'Assets'!F21,'Assets'!F22,'Assets'!F23,'Assets'!F24,'Assets'!F27,'Assets'!F28,'Assets'!F29,'Assets'!F30,'Assets'!F31,'Assets'!F32,'Assets'!F35,'Assets'!F36,'Assets'!F37,'Assets'!F38,'Assets'!F39,'Assets'!F40,'Funding'!F10,'Funding'!F11,'Funding'!F12,'Funding'!F13,'Funding'!F14,'Funding'!F15,'Funding'!F16,'Funding'!F17,'Funding'!F18,'Funding'!F19,'Funding'!F20,'Funding'!F21,'Funding'!F22,'Funding'!F23,'Funding'!F24,'Funding'!F25,'Funding'!F26,'Funding'!F27,'Funding'!F28,'Funding'!F29,'Funding'!F30,'Funding'!F31,'Funding'!F32,'Funding'!F33,'Funding'!F34,'Funding'!F35,'Funding'!F36,'Funding'!F37,'Funding'!F38,'Funding'!F39,'Funding'!F40,'Funding'!F41,'Funding'!F42,'Funding'!F43)=90,"Calculated","Incomplete"),"Incomplete")</x:f>
        <x:v>Calculated</x:v>
      </x:c>
      <x:c r="G7" s="4" t="str">
        <x:f>IFERROR(IF(COUNT('Operations'!G10,'Operations'!G11,'Operations'!G12,'Operations'!G13,'Operations'!G14,'Operations'!G15,'Operations'!G16,'Operations'!G17,'Operations'!G18,'Operations'!G19,'Operations'!G20,'Operations'!G21,'Operations'!G22,'Operations'!G23,'Operations'!G24,'Working capital'!G10,'Working capital'!G11,'Working capital'!G12,'Working capital'!G13,'Working capital'!G14,'Working capital'!G15,'Working capital'!G16,'Working capital'!G17,'Working capital'!G18,'Working capital'!G19,'Working capital'!G20,'Working capital'!G22,'Working capital'!G23,'Working capital'!G24,'Working capital'!G25,'Assets'!G10,'Assets'!G11,'Assets'!G12,'Assets'!G13,'Assets'!G14,'Assets'!G15,'Assets'!G16,'Assets'!G18,'Assets'!G19,'Assets'!G20,'Assets'!G21,'Assets'!G22,'Assets'!G23,'Assets'!G24,'Assets'!G27,'Assets'!G28,'Assets'!G29,'Assets'!G30,'Assets'!G31,'Assets'!G32,'Assets'!G35,'Assets'!G36,'Assets'!G37,'Assets'!G38,'Assets'!G39,'Assets'!G40,'Funding'!G10,'Funding'!G11,'Funding'!G12,'Funding'!G13,'Funding'!G14,'Funding'!G15,'Funding'!G16,'Funding'!G17,'Funding'!G18,'Funding'!G19,'Funding'!G20,'Funding'!G21,'Funding'!G22,'Funding'!G23,'Funding'!G24,'Funding'!G25,'Funding'!G26,'Funding'!G27,'Funding'!G28,'Funding'!G29,'Funding'!G30,'Funding'!G31,'Funding'!G32,'Funding'!G33,'Funding'!G34,'Funding'!G35,'Funding'!G36,'Funding'!G37,'Funding'!G38,'Funding'!G39,'Funding'!G40,'Funding'!G41,'Funding'!G42,'Funding'!G43)=90,"Calculated","Incomplete"),"Incomplete")</x:f>
        <x:v>Calculated</x:v>
      </x:c>
      <x:c r="H7" s="4" t="str">
        <x:f>IFERROR(IF(COUNT('Operations'!H10,'Operations'!H11,'Operations'!H12,'Operations'!H13,'Operations'!H14,'Operations'!H15,'Operations'!H16,'Operations'!H17,'Operations'!H18,'Operations'!H19,'Operations'!H20,'Operations'!H21,'Operations'!H22,'Operations'!H23,'Operations'!H24,'Working capital'!H10,'Working capital'!H11,'Working capital'!H12,'Working capital'!H13,'Working capital'!H14,'Working capital'!H15,'Working capital'!H16,'Working capital'!H17,'Working capital'!H18,'Working capital'!H19,'Working capital'!H20,'Working capital'!H22,'Working capital'!H23,'Working capital'!H24,'Working capital'!H25,'Assets'!H10,'Assets'!H11,'Assets'!H12,'Assets'!H13,'Assets'!H14,'Assets'!H15,'Assets'!H16,'Assets'!H18,'Assets'!H19,'Assets'!H20,'Assets'!H21,'Assets'!H22,'Assets'!H23,'Assets'!H24,'Assets'!H27,'Assets'!H28,'Assets'!H29,'Assets'!H30,'Assets'!H31,'Assets'!H32,'Assets'!H35,'Assets'!H36,'Assets'!H37,'Assets'!H38,'Assets'!H39,'Assets'!H40,'Funding'!H10,'Funding'!H11,'Funding'!H12,'Funding'!H13,'Funding'!H14,'Funding'!H15,'Funding'!H16,'Funding'!H17,'Funding'!H18,'Funding'!H19,'Funding'!H20,'Funding'!H21,'Funding'!H22,'Funding'!H23,'Funding'!H24,'Funding'!H25,'Funding'!H26,'Funding'!H27,'Funding'!H28,'Funding'!H29,'Funding'!H30,'Funding'!H31,'Funding'!H32,'Funding'!H33,'Funding'!H34,'Funding'!H35,'Funding'!H36,'Funding'!H37,'Funding'!H38,'Funding'!H39,'Funding'!H40,'Funding'!H41,'Funding'!H42,'Funding'!H43)=90,"Calculated","Incomplete"),"Incomplete")</x:f>
        <x:v>Calculated</x:v>
      </x:c>
      <x:c r="I7" s="4" t="str">
        <x:f>IFERROR(IF(COUNT('Operations'!I10,'Operations'!I11,'Operations'!I12,'Operations'!I13,'Operations'!I14,'Operations'!I15,'Operations'!I16,'Operations'!I17,'Operations'!I18,'Operations'!I19,'Operations'!I20,'Operations'!I21,'Operations'!I22,'Operations'!I23,'Operations'!I24,'Working capital'!I10,'Working capital'!I11,'Working capital'!I12,'Working capital'!I13,'Working capital'!I14,'Working capital'!I15,'Working capital'!I16,'Working capital'!I17,'Working capital'!I18,'Working capital'!I19,'Working capital'!I20,'Working capital'!I22,'Working capital'!I23,'Working capital'!I24,'Working capital'!I25,'Assets'!I10,'Assets'!I11,'Assets'!I12,'Assets'!I13,'Assets'!I14,'Assets'!I15,'Assets'!I16,'Assets'!I18,'Assets'!I19,'Assets'!I20,'Assets'!I21,'Assets'!I22,'Assets'!I23,'Assets'!I24,'Assets'!I27,'Assets'!I28,'Assets'!I29,'Assets'!I30,'Assets'!I31,'Assets'!I32,'Assets'!I35,'Assets'!I36,'Assets'!I37,'Assets'!I38,'Assets'!I39,'Assets'!I40,'Funding'!I10,'Funding'!I11,'Funding'!I12,'Funding'!I13,'Funding'!I14,'Funding'!I15,'Funding'!I16,'Funding'!I17,'Funding'!I18,'Funding'!I19,'Funding'!I20,'Funding'!I21,'Funding'!I22,'Funding'!I23,'Funding'!I24,'Funding'!I25,'Funding'!I26,'Funding'!I27,'Funding'!I28,'Funding'!I29,'Funding'!I30,'Funding'!I31,'Funding'!I32,'Funding'!I33,'Funding'!I34,'Funding'!I35,'Funding'!I36,'Funding'!I37,'Funding'!I38,'Funding'!I39,'Funding'!I40,'Funding'!I41,'Funding'!I42,'Funding'!I43)=90,"Calculated","Incomplete"),"Incomplete")</x:f>
        <x:v>Calculated</x:v>
      </x:c>
      <x:c r="J7" s="1"/>
    </x:row>
    <x:row r="8" ht="25" customHeight="1">
      <x:c r="A8" s="1"/>
      <x:c r="B8" s="1"/>
      <x:c r="C8" s="9"/>
      <x:c r="D8" s="10"/>
      <x:c r="E8" s="12" t="n">
        <x:f>IFERROR('History'!$F$6+1,"Incomplete")</x:f>
        <x:v>2027</x:v>
      </x:c>
      <x:c r="F8" s="12" t="n">
        <x:f>IFERROR('History'!$F$6+2,"Incomplete")</x:f>
        <x:v>2028</x:v>
      </x:c>
      <x:c r="G8" s="12" t="n">
        <x:f>IFERROR('History'!$F$6+3,"Incomplete")</x:f>
        <x:v>2029</x:v>
      </x:c>
      <x:c r="H8" s="12" t="n">
        <x:f>IFERROR('History'!$F$6+4,"Incomplete")</x:f>
        <x:v>2030</x:v>
      </x:c>
      <x:c r="I8" s="12" t="n">
        <x:f>IFERROR('History'!$F$6+5,"Incomplete")</x:f>
        <x:v>2031</x:v>
      </x:c>
      <x:c r="J8" s="1"/>
    </x:row>
    <x:row r="9" ht="25" customHeight="1">
      <x:c r="A9" s="1"/>
      <x:c r="B9" s="1"/>
      <x:c r="C9" s="1"/>
      <x:c r="D9" s="2"/>
      <x:c r="E9" s="13" t="str">
        <x:f>IFERROR(IF(1&lt;='Assumptions'!$D$7,"In horizon","Beyond horizon"),"Incomplete")</x:f>
        <x:v>In horizon</x:v>
      </x:c>
      <x:c r="F9" s="13" t="str">
        <x:f>IFERROR(IF(2&lt;='Assumptions'!$D$7,"In horizon","Beyond horizon"),"Incomplete")</x:f>
        <x:v>In horizon</x:v>
      </x:c>
      <x:c r="G9" s="13" t="str">
        <x:f>IFERROR(IF(3&lt;='Assumptions'!$D$7,"In horizon","Beyond horizon"),"Incomplete")</x:f>
        <x:v>In horizon</x:v>
      </x:c>
      <x:c r="H9" s="13" t="str">
        <x:f>IFERROR(IF(4&lt;='Assumptions'!$D$7,"In horizon","Beyond horizon"),"Incomplete")</x:f>
        <x:v>Beyond horizon</x:v>
      </x:c>
      <x:c r="I9" s="13" t="str">
        <x:f>IFERROR(IF(5&lt;='Assumptions'!$D$7,"In horizon","Beyond horizon"),"Incomplete")</x:f>
        <x:v>Beyond horizon</x:v>
      </x:c>
      <x:c r="J9" s="1"/>
    </x:row>
    <x:row r="10" ht="25" customHeight="1">
      <x:c r="A10" s="1"/>
      <x:c r="B10" s="1"/>
      <x:c r="C10" s="1"/>
      <x:c r="D10" s="2"/>
      <x:c r="E10" s="2"/>
      <x:c r="F10" s="2"/>
      <x:c r="G10" s="2"/>
      <x:c r="H10" s="2"/>
      <x:c r="I10" s="2"/>
      <x:c r="J10" s="1"/>
    </x:row>
    <x:row r="11" ht="25" customHeight="1">
      <x:c r="A11" s="1"/>
      <x:c r="B11" s="1"/>
      <x:c r="C11" s="1"/>
      <x:c r="D11" s="2"/>
      <x:c r="E11" s="2"/>
      <x:c r="F11" s="2"/>
      <x:c r="G11" s="2"/>
      <x:c r="H11" s="2"/>
      <x:c r="I11" s="2"/>
      <x:c r="J11" s="1"/>
    </x:row>
    <x:row r="12" ht="25" customHeight="1">
      <x:c r="A12" s="1"/>
      <x:c r="B12" s="1"/>
      <x:c r="C12" s="1" t="str">
        <x:v>Revenue</x:v>
      </x:c>
      <x:c r="D12" s="2"/>
      <x:c r="E12" s="4" t="n">
        <x:f>IFERROR('Operations'!E12,"Incomplete")</x:f>
        <x:v>1142.4</x:v>
      </x:c>
      <x:c r="F12" s="4" t="n">
        <x:f>IFERROR('Operations'!F12,"Incomplete")</x:f>
        <x:v>1258.4678400000003</x:v>
      </x:c>
      <x:c r="G12" s="4" t="n">
        <x:f>IFERROR('Operations'!G12,"Incomplete")</x:f>
        <x:v>1360.6554286080004</x:v>
      </x:c>
      <x:c r="H12" s="4" t="n">
        <x:f>IFERROR('Operations'!H12,"Incomplete")</x:f>
        <x:v>1457.2619640391683</x:v>
      </x:c>
      <x:c r="I12" s="4" t="n">
        <x:f>IFERROR('Operations'!I12,"Incomplete")</x:f>
        <x:v>1545.86349145275</x:v>
      </x:c>
      <x:c r="J12" s="1"/>
    </x:row>
    <x:row r="13" ht="25" customHeight="1">
      <x:c r="A13" s="1"/>
      <x:c r="B13" s="1"/>
      <x:c r="C13" s="1" t="str">
        <x:v>COGS</x:v>
      </x:c>
      <x:c r="D13" s="2"/>
      <x:c r="E13" s="4" t="n">
        <x:f>IFERROR('Operations'!E13,"Incomplete")</x:f>
        <x:v>685.44</x:v>
      </x:c>
      <x:c r="F13" s="4" t="n">
        <x:f>IFERROR('Operations'!F13,"Incomplete")</x:f>
        <x:v>755.0807040000001</x:v>
      </x:c>
      <x:c r="G13" s="4" t="n">
        <x:f>IFERROR('Operations'!G13,"Incomplete")</x:f>
        <x:v>816.3932571648003</x:v>
      </x:c>
      <x:c r="H13" s="4" t="n">
        <x:f>IFERROR('Operations'!H13,"Incomplete")</x:f>
        <x:v>874.357178423501</x:v>
      </x:c>
      <x:c r="I13" s="4" t="n">
        <x:f>IFERROR('Operations'!I13,"Incomplete")</x:f>
        <x:v>927.51809487165</x:v>
      </x:c>
      <x:c r="J13" s="1"/>
    </x:row>
    <x:row r="14" ht="25" customHeight="1">
      <x:c r="A14" s="1"/>
      <x:c r="B14" s="1"/>
      <x:c r="C14" s="1" t="str">
        <x:v>Cash operating expenses</x:v>
      </x:c>
      <x:c r="D14" s="2"/>
      <x:c r="E14" s="4" t="n">
        <x:f>IFERROR('Operations'!E16,"Incomplete")</x:f>
        <x:v>227.12</x:v>
      </x:c>
      <x:c r="F14" s="4" t="n">
        <x:f>IFERROR('Operations'!F16,"Incomplete")</x:f>
        <x:v>237.923392</x:v>
      </x:c>
      <x:c r="G14" s="4" t="n">
        <x:f>IFERROR('Operations'!G16,"Incomplete")</x:f>
        <x:v>248.03277143040003</x:v>
      </x:c>
      <x:c r="H14" s="4" t="n">
        <x:f>IFERROR('Operations'!H16,"Incomplete")</x:f>
        <x:v>257.86309820195845</x:v>
      </x:c>
      <x:c r="I14" s="4" t="n">
        <x:f>IFERROR('Operations'!I16,"Incomplete")</x:f>
        <x:v>267.2931745726375</x:v>
      </x:c>
      <x:c r="J14" s="1"/>
    </x:row>
    <x:row r="15" ht="25" customHeight="1">
      <x:c r="A15" s="1"/>
      <x:c r="B15" s="1"/>
      <x:c r="C15" s="20" t="str">
        <x:v>EBITDA</x:v>
      </x:c>
      <x:c r="D15" s="21"/>
      <x:c r="E15" s="22" t="n">
        <x:f>IFERROR('Operations'!E17,"Incomplete")</x:f>
        <x:v>229.84000000000003</x:v>
      </x:c>
      <x:c r="F15" s="22" t="n">
        <x:f>IFERROR('Operations'!F17,"Incomplete")</x:f>
        <x:v>265.46374400000013</x:v>
      </x:c>
      <x:c r="G15" s="22" t="n">
        <x:f>IFERROR('Operations'!G17,"Incomplete")</x:f>
        <x:v>296.2294000128001</x:v>
      </x:c>
      <x:c r="H15" s="22" t="n">
        <x:f>IFERROR('Operations'!H17,"Incomplete")</x:f>
        <x:v>325.0416874137089</x:v>
      </x:c>
      <x:c r="I15" s="22" t="n">
        <x:f>IFERROR('Operations'!I17,"Incomplete")</x:f>
        <x:v>351.0522220084625</x:v>
      </x:c>
      <x:c r="J15" s="1"/>
    </x:row>
    <x:row r="16" ht="25" customHeight="1">
      <x:c r="A16" s="1"/>
      <x:c r="B16" s="1"/>
      <x:c r="C16" s="1" t="str">
        <x:v>Depreciation</x:v>
      </x:c>
      <x:c r="D16" s="2"/>
      <x:c r="E16" s="4" t="n">
        <x:f>IFERROR('Operations'!E18,"Incomplete")</x:f>
        <x:v>80</x:v>
      </x:c>
      <x:c r="F16" s="4" t="n">
        <x:f>IFERROR('Operations'!F18,"Incomplete")</x:f>
        <x:v>106.25</x:v>
      </x:c>
      <x:c r="G16" s="4" t="n">
        <x:f>IFERROR('Operations'!G18,"Incomplete")</x:f>
        <x:v>125</x:v>
      </x:c>
      <x:c r="H16" s="4" t="n">
        <x:f>IFERROR('Operations'!H18,"Incomplete")</x:f>
        <x:v>143.75</x:v>
      </x:c>
      <x:c r="I16" s="4" t="n">
        <x:f>IFERROR('Operations'!I18,"Incomplete")</x:f>
        <x:v>82.5</x:v>
      </x:c>
      <x:c r="J16" s="1"/>
    </x:row>
    <x:row r="17" ht="25" customHeight="1">
      <x:c r="A17" s="1"/>
      <x:c r="B17" s="1"/>
      <x:c r="C17" s="1" t="str">
        <x:v>Amortization</x:v>
      </x:c>
      <x:c r="D17" s="2"/>
      <x:c r="E17" s="4" t="n">
        <x:f>IFERROR('Operations'!E19,"Incomplete")</x:f>
        <x:v>16</x:v>
      </x:c>
      <x:c r="F17" s="4" t="n">
        <x:f>IFERROR('Operations'!F19,"Incomplete")</x:f>
        <x:v>19</x:v>
      </x:c>
      <x:c r="G17" s="4" t="n">
        <x:f>IFERROR('Operations'!G19,"Incomplete")</x:f>
        <x:v>22</x:v>
      </x:c>
      <x:c r="H17" s="4" t="n">
        <x:f>IFERROR('Operations'!H19,"Incomplete")</x:f>
        <x:v>9</x:v>
      </x:c>
      <x:c r="I17" s="4" t="n">
        <x:f>IFERROR('Operations'!I19,"Incomplete")</x:f>
        <x:v>9</x:v>
      </x:c>
      <x:c r="J17" s="1"/>
    </x:row>
    <x:row r="18" ht="25" customHeight="1">
      <x:c r="A18" s="1"/>
      <x:c r="B18" s="1"/>
      <x:c r="C18" s="20" t="str">
        <x:v>EBIT</x:v>
      </x:c>
      <x:c r="D18" s="21"/>
      <x:c r="E18" s="22" t="n">
        <x:f>IFERROR('Operations'!E20,"Incomplete")</x:f>
        <x:v>133.84000000000003</x:v>
      </x:c>
      <x:c r="F18" s="22" t="n">
        <x:f>IFERROR('Operations'!F20,"Incomplete")</x:f>
        <x:v>140.21374400000013</x:v>
      </x:c>
      <x:c r="G18" s="22" t="n">
        <x:f>IFERROR('Operations'!G20,"Incomplete")</x:f>
        <x:v>149.2294000128001</x:v>
      </x:c>
      <x:c r="H18" s="22" t="n">
        <x:f>IFERROR('Operations'!H20,"Incomplete")</x:f>
        <x:v>172.29168741370893</x:v>
      </x:c>
      <x:c r="I18" s="22" t="n">
        <x:f>IFERROR('Operations'!I20,"Incomplete")</x:f>
        <x:v>259.5522220084625</x:v>
      </x:c>
      <x:c r="J18" s="1"/>
    </x:row>
    <x:row r="19" ht="25" customHeight="1">
      <x:c r="A19" s="1"/>
      <x:c r="B19" s="1"/>
      <x:c r="C19" s="1" t="str">
        <x:v>Interest expense</x:v>
      </x:c>
      <x:c r="D19" s="2"/>
      <x:c r="E19" s="4" t="n">
        <x:f>IFERROR('Operations'!E21,"Incomplete")</x:f>
        <x:v>18</x:v>
      </x:c>
      <x:c r="F19" s="4" t="n">
        <x:f>IFERROR('Operations'!F21,"Incomplete")</x:f>
        <x:v>14.68872</x:v>
      </x:c>
      <x:c r="G19" s="4" t="n">
        <x:f>IFERROR('Operations'!G21,"Incomplete")</x:f>
        <x:v>8.448472925999997</x:v>
      </x:c>
      <x:c r="H19" s="4" t="n">
        <x:f>IFERROR('Operations'!H21,"Incomplete")</x:f>
        <x:v>0</x:v>
      </x:c>
      <x:c r="I19" s="4" t="n">
        <x:f>IFERROR('Operations'!I21,"Incomplete")</x:f>
        <x:v>0</x:v>
      </x:c>
      <x:c r="J19" s="1"/>
    </x:row>
    <x:row r="20" ht="25" customHeight="1">
      <x:c r="A20" s="1"/>
      <x:c r="B20" s="1"/>
      <x:c r="C20" s="1" t="str">
        <x:v>Pretax income</x:v>
      </x:c>
      <x:c r="D20" s="2"/>
      <x:c r="E20" s="4" t="n">
        <x:f>IFERROR('Operations'!E22,"Incomplete")</x:f>
        <x:v>115.84000000000003</x:v>
      </x:c>
      <x:c r="F20" s="4" t="n">
        <x:f>IFERROR('Operations'!F22,"Incomplete")</x:f>
        <x:v>125.52502400000013</x:v>
      </x:c>
      <x:c r="G20" s="4" t="n">
        <x:f>IFERROR('Operations'!G22,"Incomplete")</x:f>
        <x:v>140.78092708680012</x:v>
      </x:c>
      <x:c r="H20" s="4" t="n">
        <x:f>IFERROR('Operations'!H22,"Incomplete")</x:f>
        <x:v>172.29168741370893</x:v>
      </x:c>
      <x:c r="I20" s="4" t="n">
        <x:f>IFERROR('Operations'!I22,"Incomplete")</x:f>
        <x:v>259.5522220084625</x:v>
      </x:c>
      <x:c r="J20" s="1"/>
    </x:row>
    <x:row r="21" ht="25" customHeight="1">
      <x:c r="A21" s="1"/>
      <x:c r="B21" s="1"/>
      <x:c r="C21" s="1" t="str">
        <x:v>Tax expense</x:v>
      </x:c>
      <x:c r="D21" s="2"/>
      <x:c r="E21" s="4" t="n">
        <x:f>IFERROR('Operations'!E23,"Incomplete")</x:f>
        <x:v>28.960000000000008</x:v>
      </x:c>
      <x:c r="F21" s="4" t="n">
        <x:f>IFERROR('Operations'!F23,"Incomplete")</x:f>
        <x:v>31.381256000000032</x:v>
      </x:c>
      <x:c r="G21" s="4" t="n">
        <x:f>IFERROR('Operations'!G23,"Incomplete")</x:f>
        <x:v>35.19523177170003</x:v>
      </x:c>
      <x:c r="H21" s="4" t="n">
        <x:f>IFERROR('Operations'!H23,"Incomplete")</x:f>
        <x:v>43.07292185342723</x:v>
      </x:c>
      <x:c r="I21" s="4" t="n">
        <x:f>IFERROR('Operations'!I23,"Incomplete")</x:f>
        <x:v>64.88805550211562</x:v>
      </x:c>
      <x:c r="J21" s="1"/>
    </x:row>
    <x:row r="22" ht="25" customHeight="1">
      <x:c r="A22" s="1"/>
      <x:c r="B22" s="1"/>
      <x:c r="C22" s="20" t="str">
        <x:v>Net income</x:v>
      </x:c>
      <x:c r="D22" s="21"/>
      <x:c r="E22" s="22" t="n">
        <x:f>IFERROR('Operations'!E24,"Incomplete")</x:f>
        <x:v>86.88000000000002</x:v>
      </x:c>
      <x:c r="F22" s="22" t="n">
        <x:f>IFERROR('Operations'!F24,"Incomplete")</x:f>
        <x:v>94.1437680000001</x:v>
      </x:c>
      <x:c r="G22" s="22" t="n">
        <x:f>IFERROR('Operations'!G24,"Incomplete")</x:f>
        <x:v>105.58569531510008</x:v>
      </x:c>
      <x:c r="H22" s="22" t="n">
        <x:f>IFERROR('Operations'!H24,"Incomplete")</x:f>
        <x:v>129.2187655602817</x:v>
      </x:c>
      <x:c r="I22" s="22" t="n">
        <x:f>IFERROR('Operations'!I24,"Incomplete")</x:f>
        <x:v>194.66416650634687</x:v>
      </x:c>
      <x:c r="J22" s="1"/>
    </x:row>
    <x:row r="23" ht="25" customHeight="1">
      <x:c r="A23" s="1"/>
      <x:c r="B23" s="1"/>
      <x:c r="C23" s="1"/>
      <x:c r="D23" s="2"/>
      <x:c r="E23" s="2"/>
      <x:c r="F23" s="2"/>
      <x:c r="G23" s="2"/>
      <x:c r="H23" s="2"/>
      <x:c r="I23" s="2"/>
      <x:c r="J23" s="1"/>
    </x:row>
    <x:row r="24" ht="25" customHeight="1">
      <x:c r="A24" s="1"/>
      <x:c r="B24" s="1"/>
      <x:c r="C24" s="1"/>
      <x:c r="D24" s="2"/>
      <x:c r="E24" s="2"/>
      <x:c r="F24" s="2"/>
      <x:c r="G24" s="2"/>
      <x:c r="H24" s="2"/>
      <x:c r="I24" s="2"/>
      <x:c r="J24" s="1"/>
    </x:row>
    <x:row r="25" ht="25" customHeight="1">
      <x:c r="A25" s="1"/>
      <x:c r="B25" s="1"/>
      <x:c r="C25" s="1" t="str">
        <x:v>Net income</x:v>
      </x:c>
      <x:c r="D25" s="2"/>
      <x:c r="E25" s="4" t="n">
        <x:f>IFERROR('Funding'!E18,"Incomplete")</x:f>
        <x:v>86.88000000000002</x:v>
      </x:c>
      <x:c r="F25" s="4" t="n">
        <x:f>IFERROR('Funding'!F18,"Incomplete")</x:f>
        <x:v>94.1437680000001</x:v>
      </x:c>
      <x:c r="G25" s="4" t="n">
        <x:f>IFERROR('Funding'!G18,"Incomplete")</x:f>
        <x:v>105.58569531510008</x:v>
      </x:c>
      <x:c r="H25" s="4" t="n">
        <x:f>IFERROR('Funding'!H18,"Incomplete")</x:f>
        <x:v>129.2187655602817</x:v>
      </x:c>
      <x:c r="I25" s="4" t="n">
        <x:f>IFERROR('Funding'!I18,"Incomplete")</x:f>
        <x:v>194.66416650634687</x:v>
      </x:c>
      <x:c r="J25" s="1"/>
    </x:row>
    <x:row r="26" ht="25" customHeight="1">
      <x:c r="A26" s="1"/>
      <x:c r="B26" s="1"/>
      <x:c r="C26" s="1" t="str">
        <x:v>D&amp;A add-back</x:v>
      </x:c>
      <x:c r="D26" s="2"/>
      <x:c r="E26" s="4" t="n">
        <x:f>IFERROR('Funding'!E19,"Incomplete")</x:f>
        <x:v>96</x:v>
      </x:c>
      <x:c r="F26" s="4" t="n">
        <x:f>IFERROR('Funding'!F19,"Incomplete")</x:f>
        <x:v>125.25</x:v>
      </x:c>
      <x:c r="G26" s="4" t="n">
        <x:f>IFERROR('Funding'!G19,"Incomplete")</x:f>
        <x:v>147</x:v>
      </x:c>
      <x:c r="H26" s="4" t="n">
        <x:f>IFERROR('Funding'!H19,"Incomplete")</x:f>
        <x:v>152.75</x:v>
      </x:c>
      <x:c r="I26" s="4" t="n">
        <x:f>IFERROR('Funding'!I19,"Incomplete")</x:f>
        <x:v>91.5</x:v>
      </x:c>
      <x:c r="J26" s="1"/>
    </x:row>
    <x:row r="27" ht="25" customHeight="1">
      <x:c r="A27" s="1"/>
      <x:c r="B27" s="1"/>
      <x:c r="C27" s="1" t="str">
        <x:v>Operating WC cash adjustment</x:v>
      </x:c>
      <x:c r="D27" s="2"/>
      <x:c r="E27" s="4" t="n">
        <x:f>IFERROR('Funding'!E20,"Incomplete")</x:f>
        <x:v>-61.32800000000003</x:v>
      </x:c>
      <x:c r="F27" s="4" t="n">
        <x:f>IFERROR('Funding'!F20,"Incomplete")</x:f>
        <x:v>-25.534924800000027</x:v>
      </x:c>
      <x:c r="G27" s="4" t="n">
        <x:f>IFERROR('Funding'!G20,"Incomplete")</x:f>
        <x:v>-22.481269493760053</x:v>
      </x:c>
      <x:c r="H27" s="4" t="n">
        <x:f>IFERROR('Funding'!H20,"Incomplete")</x:f>
        <x:v>-21.253437794856936</x:v>
      </x:c>
      <x:c r="I27" s="4" t="n">
        <x:f>IFERROR('Funding'!I20,"Incomplete")</x:f>
        <x:v>-19.49233603098793</x:v>
      </x:c>
      <x:c r="J27" s="1"/>
    </x:row>
    <x:row r="28" ht="25" customHeight="1">
      <x:c r="A28" s="1"/>
      <x:c r="B28" s="1"/>
      <x:c r="C28" s="1" t="str">
        <x:v>Tax payable cash adjustment</x:v>
      </x:c>
      <x:c r="D28" s="2"/>
      <x:c r="E28" s="4" t="n">
        <x:f>IFERROR('Funding'!E21,"Incomplete")</x:f>
        <x:v>-0.759999999999998</x:v>
      </x:c>
      <x:c r="F28" s="4" t="n">
        <x:f>IFERROR('Funding'!F21,"Incomplete")</x:f>
        <x:v>0.6053140000000061</x:v>
      </x:c>
      <x:c r="G28" s="4" t="n">
        <x:f>IFERROR('Funding'!G21,"Incomplete")</x:f>
        <x:v>0.9534939429249993</x:v>
      </x:c>
      <x:c r="H28" s="4" t="n">
        <x:f>IFERROR('Funding'!H21,"Incomplete")</x:f>
        <x:v>1.9694225204318005</x:v>
      </x:c>
      <x:c r="I28" s="4" t="n">
        <x:f>IFERROR('Funding'!I21,"Incomplete")</x:f>
        <x:v>5.453783412172097</x:v>
      </x:c>
      <x:c r="J28" s="1"/>
    </x:row>
    <x:row r="29" ht="25" customHeight="1">
      <x:c r="A29" s="1"/>
      <x:c r="B29" s="1"/>
      <x:c r="C29" s="20" t="str">
        <x:v>Operating cash flow</x:v>
      </x:c>
      <x:c r="D29" s="21"/>
      <x:c r="E29" s="22" t="n">
        <x:f>IFERROR('Funding'!E22,"Incomplete")</x:f>
        <x:v>120.792</x:v>
      </x:c>
      <x:c r="F29" s="22" t="n">
        <x:f>IFERROR('Funding'!F22,"Incomplete")</x:f>
        <x:v>194.46415720000005</x:v>
      </x:c>
      <x:c r="G29" s="22" t="n">
        <x:f>IFERROR('Funding'!G22,"Incomplete")</x:f>
        <x:v>231.05791976426505</x:v>
      </x:c>
      <x:c r="H29" s="22" t="n">
        <x:f>IFERROR('Funding'!H22,"Incomplete")</x:f>
        <x:v>262.6847502858565</x:v>
      </x:c>
      <x:c r="I29" s="22" t="n">
        <x:f>IFERROR('Funding'!I22,"Incomplete")</x:f>
        <x:v>272.125613887531</x:v>
      </x:c>
      <x:c r="J29" s="1"/>
    </x:row>
    <x:row r="30" ht="25" customHeight="1">
      <x:c r="A30" s="1"/>
      <x:c r="B30" s="1"/>
      <x:c r="C30" s="1" t="str">
        <x:v>Investing cash flow</x:v>
      </x:c>
      <x:c r="D30" s="2"/>
      <x:c r="E30" s="4" t="n">
        <x:f>IFERROR('Funding'!E40,"Incomplete")</x:f>
        <x:v>-114</x:v>
      </x:c>
      <x:c r="F30" s="4" t="n">
        <x:f>IFERROR('Funding'!F40,"Incomplete")</x:f>
        <x:v>-84</x:v>
      </x:c>
      <x:c r="G30" s="4" t="n">
        <x:f>IFERROR('Funding'!G40,"Incomplete")</x:f>
        <x:v>-84</x:v>
      </x:c>
      <x:c r="H30" s="4" t="n">
        <x:f>IFERROR('Funding'!H40,"Incomplete")</x:f>
        <x:v>-84</x:v>
      </x:c>
      <x:c r="I30" s="4" t="n">
        <x:f>IFERROR('Funding'!I40,"Incomplete")</x:f>
        <x:v>-84</x:v>
      </x:c>
      <x:c r="J30" s="1"/>
    </x:row>
    <x:row r="31" ht="25" customHeight="1">
      <x:c r="A31" s="1"/>
      <x:c r="B31" s="1"/>
      <x:c r="C31" s="1" t="str">
        <x:v>Financing cash flow</x:v>
      </x:c>
      <x:c r="D31" s="2"/>
      <x:c r="E31" s="4" t="n">
        <x:f>IFERROR('Funding'!E41,"Incomplete")</x:f>
        <x:v>-41.792</x:v>
      </x:c>
      <x:c r="F31" s="4" t="n">
        <x:f>IFERROR('Funding'!F41,"Incomplete")</x:f>
        <x:v>-74.33607860000002</x:v>
      </x:c>
      <x:c r="G31" s="4" t="n">
        <x:f>IFERROR('Funding'!G41,"Incomplete")</x:f>
        <x:v>-98.87192139999998</x:v>
      </x:c>
      <x:c r="H31" s="4" t="n">
        <x:f>IFERROR('Funding'!H41,"Incomplete")</x:f>
        <x:v>-5</x:v>
      </x:c>
      <x:c r="I31" s="4" t="n">
        <x:f>IFERROR('Funding'!I41,"Incomplete")</x:f>
        <x:v>-5</x:v>
      </x:c>
      <x:c r="J31" s="1"/>
    </x:row>
    <x:row r="32" ht="25" customHeight="1">
      <x:c r="A32" s="1"/>
      <x:c r="B32" s="1"/>
      <x:c r="C32" s="1" t="str">
        <x:v>Net cash change</x:v>
      </x:c>
      <x:c r="D32" s="2"/>
      <x:c r="E32" s="4" t="n">
        <x:f>IFERROR('Funding'!E42,"Incomplete")</x:f>
        <x:v>-35</x:v>
      </x:c>
      <x:c r="F32" s="4" t="n">
        <x:f>IFERROR('Funding'!F42,"Incomplete")</x:f>
        <x:v>36.12807860000002</x:v>
      </x:c>
      <x:c r="G32" s="4" t="n">
        <x:f>IFERROR('Funding'!G42,"Incomplete")</x:f>
        <x:v>48.185998364265075</x:v>
      </x:c>
      <x:c r="H32" s="4" t="n">
        <x:f>IFERROR('Funding'!H42,"Incomplete")</x:f>
        <x:v>173.68475028585652</x:v>
      </x:c>
      <x:c r="I32" s="4" t="n">
        <x:f>IFERROR('Funding'!I42,"Incomplete")</x:f>
        <x:v>183.12561388753102</x:v>
      </x:c>
      <x:c r="J32" s="1"/>
    </x:row>
    <x:row r="33" ht="25" customHeight="1">
      <x:c r="A33" s="1"/>
      <x:c r="B33" s="1"/>
      <x:c r="C33" s="1" t="str">
        <x:v>Opening cash</x:v>
      </x:c>
      <x:c r="D33" s="2"/>
      <x:c r="E33" s="4" t="n">
        <x:f>IFERROR('Funding'!E10,"Incomplete")</x:f>
        <x:v>95</x:v>
      </x:c>
      <x:c r="F33" s="4" t="n">
        <x:f>IFERROR('Funding'!F10,"Incomplete")</x:f>
        <x:v>60</x:v>
      </x:c>
      <x:c r="G33" s="4" t="n">
        <x:f>IFERROR('Funding'!G10,"Incomplete")</x:f>
        <x:v>96.12807860000002</x:v>
      </x:c>
      <x:c r="H33" s="4" t="n">
        <x:f>IFERROR('Funding'!H10,"Incomplete")</x:f>
        <x:v>144.3140769642651</x:v>
      </x:c>
      <x:c r="I33" s="4" t="n">
        <x:f>IFERROR('Funding'!I10,"Incomplete")</x:f>
        <x:v>317.9988272501216</x:v>
      </x:c>
      <x:c r="J33" s="1"/>
    </x:row>
    <x:row r="34" ht="25" customHeight="1">
      <x:c r="A34" s="1"/>
      <x:c r="B34" s="1"/>
      <x:c r="C34" s="20" t="str">
        <x:v>Closing cash / unfunded residual</x:v>
      </x:c>
      <x:c r="D34" s="21"/>
      <x:c r="E34" s="22" t="n">
        <x:f>IFERROR('Funding'!E36,"Incomplete")</x:f>
        <x:v>60</x:v>
      </x:c>
      <x:c r="F34" s="22" t="n">
        <x:f>IFERROR('Funding'!F36,"Incomplete")</x:f>
        <x:v>96.12807860000002</x:v>
      </x:c>
      <x:c r="G34" s="22" t="n">
        <x:f>IFERROR('Funding'!G36,"Incomplete")</x:f>
        <x:v>144.3140769642651</x:v>
      </x:c>
      <x:c r="H34" s="22" t="n">
        <x:f>IFERROR('Funding'!H36,"Incomplete")</x:f>
        <x:v>317.9988272501216</x:v>
      </x:c>
      <x:c r="I34" s="22" t="n">
        <x:f>IFERROR('Funding'!I36,"Incomplete")</x:f>
        <x:v>501.12444113765264</x:v>
      </x:c>
      <x:c r="J34" s="1"/>
    </x:row>
    <x:row r="35" ht="25" customHeight="1">
      <x:c r="A35" s="1"/>
      <x:c r="B35" s="1"/>
      <x:c r="C35" s="1"/>
      <x:c r="D35" s="2"/>
      <x:c r="E35" s="2"/>
      <x:c r="F35" s="2"/>
      <x:c r="G35" s="2"/>
      <x:c r="H35" s="2"/>
      <x:c r="I35" s="2"/>
      <x:c r="J35" s="1"/>
    </x:row>
    <x:row r="36" ht="25" customHeight="1">
      <x:c r="A36" s="1"/>
      <x:c r="B36" s="1"/>
      <x:c r="C36" s="1"/>
      <x:c r="D36" s="2"/>
      <x:c r="E36" s="2"/>
      <x:c r="F36" s="2"/>
      <x:c r="G36" s="2"/>
      <x:c r="H36" s="2"/>
      <x:c r="I36" s="2"/>
      <x:c r="J36" s="1"/>
    </x:row>
    <x:row r="37" ht="25" customHeight="1">
      <x:c r="A37" s="1"/>
      <x:c r="B37" s="1"/>
      <x:c r="C37" s="1" t="str">
        <x:v>Cash / unfunded residual</x:v>
      </x:c>
      <x:c r="D37" s="2"/>
      <x:c r="E37" s="4" t="n">
        <x:f>IFERROR('Funding'!E36,"Incomplete")</x:f>
        <x:v>60</x:v>
      </x:c>
      <x:c r="F37" s="4" t="n">
        <x:f>IFERROR('Funding'!F36,"Incomplete")</x:f>
        <x:v>96.12807860000002</x:v>
      </x:c>
      <x:c r="G37" s="4" t="n">
        <x:f>IFERROR('Funding'!G36,"Incomplete")</x:f>
        <x:v>144.3140769642651</x:v>
      </x:c>
      <x:c r="H37" s="4" t="n">
        <x:f>IFERROR('Funding'!H36,"Incomplete")</x:f>
        <x:v>317.9988272501216</x:v>
      </x:c>
      <x:c r="I37" s="4" t="n">
        <x:f>IFERROR('Funding'!I36,"Incomplete")</x:f>
        <x:v>501.12444113765264</x:v>
      </x:c>
      <x:c r="J37" s="1"/>
    </x:row>
    <x:row r="38" ht="25" customHeight="1">
      <x:c r="A38" s="1"/>
      <x:c r="B38" s="1"/>
      <x:c r="C38" s="1" t="str">
        <x:v>Receivables</x:v>
      </x:c>
      <x:c r="D38" s="2"/>
      <x:c r="E38" s="4" t="n">
        <x:f>IFERROR('Working capital'!E10,"Incomplete")</x:f>
        <x:v>182.78400000000002</x:v>
      </x:c>
      <x:c r="F38" s="4" t="n">
        <x:f>IFERROR('Working capital'!F10,"Incomplete")</x:f>
        <x:v>201.35485440000005</x:v>
      </x:c>
      <x:c r="G38" s="4" t="n">
        <x:f>IFERROR('Working capital'!G10,"Incomplete")</x:f>
        <x:v>217.70486857728008</x:v>
      </x:c>
      <x:c r="H38" s="4" t="n">
        <x:f>IFERROR('Working capital'!H10,"Incomplete")</x:f>
        <x:v>233.16191424626695</x:v>
      </x:c>
      <x:c r="I38" s="4" t="n">
        <x:f>IFERROR('Working capital'!I10,"Incomplete")</x:f>
        <x:v>247.33815863243998</x:v>
      </x:c>
      <x:c r="J38" s="1"/>
    </x:row>
    <x:row r="39" ht="25" customHeight="1">
      <x:c r="A39" s="1"/>
      <x:c r="B39" s="1"/>
      <x:c r="C39" s="1" t="str">
        <x:v>Inventory</x:v>
      </x:c>
      <x:c r="D39" s="2"/>
      <x:c r="E39" s="4" t="n">
        <x:f>IFERROR('Working capital'!E11,"Incomplete")</x:f>
        <x:v>171.36</x:v>
      </x:c>
      <x:c r="F39" s="4" t="n">
        <x:f>IFERROR('Working capital'!F11,"Incomplete")</x:f>
        <x:v>188.77017600000002</x:v>
      </x:c>
      <x:c r="G39" s="4" t="n">
        <x:f>IFERROR('Working capital'!G11,"Incomplete")</x:f>
        <x:v>204.09831429120007</x:v>
      </x:c>
      <x:c r="H39" s="4" t="n">
        <x:f>IFERROR('Working capital'!H11,"Incomplete")</x:f>
        <x:v>218.58929460587524</x:v>
      </x:c>
      <x:c r="I39" s="4" t="n">
        <x:f>IFERROR('Working capital'!I11,"Incomplete")</x:f>
        <x:v>231.8795237179125</x:v>
      </x:c>
      <x:c r="J39" s="1"/>
    </x:row>
    <x:row r="40" ht="25" customHeight="1">
      <x:c r="A40" s="1"/>
      <x:c r="B40" s="1"/>
      <x:c r="C40" s="1" t="str">
        <x:v>Prepaids</x:v>
      </x:c>
      <x:c r="D40" s="2"/>
      <x:c r="E40" s="4" t="n">
        <x:f>IFERROR('Working capital'!E12,"Incomplete")</x:f>
        <x:v>22.712000000000003</x:v>
      </x:c>
      <x:c r="F40" s="4" t="n">
        <x:f>IFERROR('Working capital'!F12,"Incomplete")</x:f>
        <x:v>23.7923392</x:v>
      </x:c>
      <x:c r="G40" s="4" t="n">
        <x:f>IFERROR('Working capital'!G12,"Incomplete")</x:f>
        <x:v>24.803277143040006</x:v>
      </x:c>
      <x:c r="H40" s="4" t="n">
        <x:f>IFERROR('Working capital'!H12,"Incomplete")</x:f>
        <x:v>25.786309820195846</x:v>
      </x:c>
      <x:c r="I40" s="4" t="n">
        <x:f>IFERROR('Working capital'!I12,"Incomplete")</x:f>
        <x:v>26.72931745726375</x:v>
      </x:c>
      <x:c r="J40" s="1"/>
    </x:row>
    <x:row r="41" ht="25" customHeight="1">
      <x:c r="A41" s="1"/>
      <x:c r="B41" s="1"/>
      <x:c r="C41" s="1" t="str">
        <x:v>Net PP&amp;E</x:v>
      </x:c>
      <x:c r="D41" s="2"/>
      <x:c r="E41" s="4" t="n">
        <x:f>IFERROR('Assets'!E16,"Incomplete")</x:f>
        <x:v>345</x:v>
      </x:c>
      <x:c r="F41" s="4" t="n">
        <x:f>IFERROR('Assets'!F16,"Incomplete")</x:f>
        <x:v>313.75</x:v>
      </x:c>
      <x:c r="G41" s="4" t="n">
        <x:f>IFERROR('Assets'!G16,"Incomplete")</x:f>
        <x:v>263.75</x:v>
      </x:c>
      <x:c r="H41" s="4" t="n">
        <x:f>IFERROR('Assets'!H16,"Incomplete")</x:f>
        <x:v>195</x:v>
      </x:c>
      <x:c r="I41" s="4" t="n">
        <x:f>IFERROR('Assets'!I16,"Incomplete")</x:f>
        <x:v>187.5</x:v>
      </x:c>
      <x:c r="J41" s="1"/>
    </x:row>
    <x:row r="42" ht="25" customHeight="1">
      <x:c r="A42" s="1"/>
      <x:c r="B42" s="1"/>
      <x:c r="C42" s="1" t="str">
        <x:v>Net software</x:v>
      </x:c>
      <x:c r="D42" s="2"/>
      <x:c r="E42" s="4" t="n">
        <x:f>IFERROR('Assets'!E24,"Incomplete")</x:f>
        <x:v>41</x:v>
      </x:c>
      <x:c r="F42" s="4" t="n">
        <x:f>IFERROR('Assets'!F24,"Incomplete")</x:f>
        <x:v>31</x:v>
      </x:c>
      <x:c r="G42" s="4" t="n">
        <x:f>IFERROR('Assets'!G24,"Incomplete")</x:f>
        <x:v>18</x:v>
      </x:c>
      <x:c r="H42" s="4" t="n">
        <x:f>IFERROR('Assets'!H24,"Incomplete")</x:f>
        <x:v>18</x:v>
      </x:c>
      <x:c r="I42" s="4" t="n">
        <x:f>IFERROR('Assets'!I24,"Incomplete")</x:f>
        <x:v>18</x:v>
      </x:c>
      <x:c r="J42" s="1"/>
    </x:row>
    <x:row r="43" ht="25" customHeight="1">
      <x:c r="A43" s="1"/>
      <x:c r="B43" s="1"/>
      <x:c r="C43" s="20" t="str">
        <x:v>Total assets</x:v>
      </x:c>
      <x:c r="D43" s="21"/>
      <x:c r="E43" s="21" t="n">
        <x:f>IFERROR(SUM(E37:E42),"Incomplete")</x:f>
        <x:v>822.856</x:v>
      </x:c>
      <x:c r="F43" s="21" t="n">
        <x:f>IFERROR(SUM(F37:F42),"Incomplete")</x:f>
        <x:v>854.7954482000001</x:v>
      </x:c>
      <x:c r="G43" s="21" t="n">
        <x:f>IFERROR(SUM(G37:G42),"Incomplete")</x:f>
        <x:v>872.6705369757852</x:v>
      </x:c>
      <x:c r="H43" s="21" t="n">
        <x:f>IFERROR(SUM(H37:H42),"Incomplete")</x:f>
        <x:v>1008.5363459224596</x:v>
      </x:c>
      <x:c r="I43" s="21" t="n">
        <x:f>IFERROR(SUM(I37:I42),"Incomplete")</x:f>
        <x:v>1212.571440945269</x:v>
      </x:c>
      <x:c r="J43" s="1"/>
    </x:row>
    <x:row r="44" ht="25" customHeight="1">
      <x:c r="A44" s="1"/>
      <x:c r="B44" s="1"/>
      <x:c r="C44" s="1"/>
      <x:c r="D44" s="2"/>
      <x:c r="E44" s="2"/>
      <x:c r="F44" s="2"/>
      <x:c r="G44" s="2"/>
      <x:c r="H44" s="2"/>
      <x:c r="I44" s="2"/>
      <x:c r="J44" s="1"/>
    </x:row>
    <x:row r="45" ht="25" customHeight="1">
      <x:c r="A45" s="1"/>
      <x:c r="B45" s="1"/>
      <x:c r="C45" s="1" t="str">
        <x:v>Payables</x:v>
      </x:c>
      <x:c r="D45" s="2"/>
      <x:c r="E45" s="4" t="n">
        <x:f>IFERROR('Working capital'!E13,"Incomplete")</x:f>
        <x:v>102.816</x:v>
      </x:c>
      <x:c r="F45" s="4" t="n">
        <x:f>IFERROR('Working capital'!F13,"Incomplete")</x:f>
        <x:v>113.26210560000001</x:v>
      </x:c>
      <x:c r="G45" s="4" t="n">
        <x:f>IFERROR('Working capital'!G13,"Incomplete")</x:f>
        <x:v>122.45898857472004</x:v>
      </x:c>
      <x:c r="H45" s="4" t="n">
        <x:f>IFERROR('Working capital'!H13,"Incomplete")</x:f>
        <x:v>131.15357676352514</x:v>
      </x:c>
      <x:c r="I45" s="4" t="n">
        <x:f>IFERROR('Working capital'!I13,"Incomplete")</x:f>
        <x:v>139.1277142307475</x:v>
      </x:c>
      <x:c r="J45" s="1"/>
    </x:row>
    <x:row r="46" ht="25" customHeight="1">
      <x:c r="A46" s="1"/>
      <x:c r="B46" s="1"/>
      <x:c r="C46" s="1" t="str">
        <x:v>Accruals</x:v>
      </x:c>
      <x:c r="D46" s="2"/>
      <x:c r="E46" s="4" t="n">
        <x:f>IFERROR('Working capital'!E14,"Incomplete")</x:f>
        <x:v>22.712000000000003</x:v>
      </x:c>
      <x:c r="F46" s="4" t="n">
        <x:f>IFERROR('Working capital'!F14,"Incomplete")</x:f>
        <x:v>23.7923392</x:v>
      </x:c>
      <x:c r="G46" s="4" t="n">
        <x:f>IFERROR('Working capital'!G14,"Incomplete")</x:f>
        <x:v>24.803277143040006</x:v>
      </x:c>
      <x:c r="H46" s="4" t="n">
        <x:f>IFERROR('Working capital'!H14,"Incomplete")</x:f>
        <x:v>25.786309820195846</x:v>
      </x:c>
      <x:c r="I46" s="4" t="n">
        <x:f>IFERROR('Working capital'!I14,"Incomplete")</x:f>
        <x:v>26.72931745726375</x:v>
      </x:c>
      <x:c r="J46" s="1"/>
    </x:row>
    <x:row r="47" ht="25" customHeight="1">
      <x:c r="A47" s="1"/>
      <x:c r="B47" s="1"/>
      <x:c r="C47" s="1" t="str">
        <x:v>Tax payable</x:v>
      </x:c>
      <x:c r="D47" s="2"/>
      <x:c r="E47" s="4" t="n">
        <x:f>IFERROR('Funding'!E16,"Incomplete")</x:f>
        <x:v>7.240000000000002</x:v>
      </x:c>
      <x:c r="F47" s="4" t="n">
        <x:f>IFERROR('Funding'!F16,"Incomplete")</x:f>
        <x:v>7.845314000000008</x:v>
      </x:c>
      <x:c r="G47" s="4" t="n">
        <x:f>IFERROR('Funding'!G16,"Incomplete")</x:f>
        <x:v>8.798807942925007</x:v>
      </x:c>
      <x:c r="H47" s="4" t="n">
        <x:f>IFERROR('Funding'!H16,"Incomplete")</x:f>
        <x:v>10.768230463356808</x:v>
      </x:c>
      <x:c r="I47" s="4" t="n">
        <x:f>IFERROR('Funding'!I16,"Incomplete")</x:f>
        <x:v>16.222013875528905</x:v>
      </x:c>
      <x:c r="J47" s="1"/>
    </x:row>
    <x:row r="48" ht="25" customHeight="1">
      <x:c r="A48" s="1"/>
      <x:c r="B48" s="1"/>
      <x:c r="C48" s="1" t="str">
        <x:v>Term debt</x:v>
      </x:c>
      <x:c r="D48" s="2"/>
      <x:c r="E48" s="4" t="n">
        <x:f>IFERROR('Funding'!E34,"Incomplete")</x:f>
        <x:v>155</x:v>
      </x:c>
      <x:c r="F48" s="4" t="n">
        <x:f>IFERROR('Funding'!F34,"Incomplete")</x:f>
        <x:v>93.87192139999998</x:v>
      </x:c>
      <x:c r="G48" s="4" t="n">
        <x:f>IFERROR('Funding'!G34,"Incomplete")</x:f>
        <x:v>0</x:v>
      </x:c>
      <x:c r="H48" s="4" t="n">
        <x:f>IFERROR('Funding'!H34,"Incomplete")</x:f>
        <x:v>0</x:v>
      </x:c>
      <x:c r="I48" s="4" t="n">
        <x:f>IFERROR('Funding'!I34,"Incomplete")</x:f>
        <x:v>0</x:v>
      </x:c>
      <x:c r="J48" s="1"/>
    </x:row>
    <x:row r="49" ht="25" customHeight="1">
      <x:c r="A49" s="1"/>
      <x:c r="B49" s="1"/>
      <x:c r="C49" s="1" t="str">
        <x:v>Revolver</x:v>
      </x:c>
      <x:c r="D49" s="2"/>
      <x:c r="E49" s="4" t="n">
        <x:f>IFERROR('Funding'!E35,"Incomplete")</x:f>
        <x:v>8.207999999999998</x:v>
      </x:c>
      <x:c r="F49" s="4" t="n">
        <x:f>IFERROR('Funding'!F35,"Incomplete")</x:f>
        <x:v>0</x:v>
      </x:c>
      <x:c r="G49" s="4" t="n">
        <x:f>IFERROR('Funding'!G35,"Incomplete")</x:f>
        <x:v>0</x:v>
      </x:c>
      <x:c r="H49" s="4" t="n">
        <x:f>IFERROR('Funding'!H35,"Incomplete")</x:f>
        <x:v>0</x:v>
      </x:c>
      <x:c r="I49" s="4" t="n">
        <x:f>IFERROR('Funding'!I35,"Incomplete")</x:f>
        <x:v>0</x:v>
      </x:c>
      <x:c r="J49" s="1"/>
    </x:row>
    <x:row r="50" ht="25" customHeight="1">
      <x:c r="A50" s="1"/>
      <x:c r="B50" s="1"/>
      <x:c r="C50" s="20" t="str">
        <x:v>Total liabilities</x:v>
      </x:c>
      <x:c r="D50" s="21"/>
      <x:c r="E50" s="21" t="n">
        <x:f>IFERROR(SUM(E45:E49),"Incomplete")</x:f>
        <x:v>295.976</x:v>
      </x:c>
      <x:c r="F50" s="21" t="n">
        <x:f>IFERROR(SUM(F45:F49),"Incomplete")</x:f>
        <x:v>238.7716802</x:v>
      </x:c>
      <x:c r="G50" s="21" t="n">
        <x:f>IFERROR(SUM(G45:G49),"Incomplete")</x:f>
        <x:v>156.06107366068505</x:v>
      </x:c>
      <x:c r="H50" s="21" t="n">
        <x:f>IFERROR(SUM(H45:H49),"Incomplete")</x:f>
        <x:v>167.7081170470778</x:v>
      </x:c>
      <x:c r="I50" s="21" t="n">
        <x:f>IFERROR(SUM(I45:I49),"Incomplete")</x:f>
        <x:v>182.07904556354018</x:v>
      </x:c>
      <x:c r="J50" s="1"/>
    </x:row>
    <x:row r="51" ht="25" customHeight="1">
      <x:c r="A51" s="1"/>
      <x:c r="B51" s="1"/>
      <x:c r="C51" s="1"/>
      <x:c r="D51" s="2"/>
      <x:c r="E51" s="2"/>
      <x:c r="F51" s="2"/>
      <x:c r="G51" s="2"/>
      <x:c r="H51" s="2"/>
      <x:c r="I51" s="2"/>
      <x:c r="J51" s="1"/>
    </x:row>
    <x:row r="52" ht="25" customHeight="1">
      <x:c r="A52" s="1"/>
      <x:c r="B52" s="1"/>
      <x:c r="C52" s="1" t="str">
        <x:v>Paid-in capital</x:v>
      </x:c>
      <x:c r="D52" s="2"/>
      <x:c r="E52" s="4" t="n">
        <x:f>IFERROR('Funding'!E38,"Incomplete")</x:f>
        <x:v>180</x:v>
      </x:c>
      <x:c r="F52" s="4" t="n">
        <x:f>IFERROR('Funding'!F38,"Incomplete")</x:f>
        <x:v>180</x:v>
      </x:c>
      <x:c r="G52" s="4" t="n">
        <x:f>IFERROR('Funding'!G38,"Incomplete")</x:f>
        <x:v>180</x:v>
      </x:c>
      <x:c r="H52" s="4" t="n">
        <x:f>IFERROR('Funding'!H38,"Incomplete")</x:f>
        <x:v>180</x:v>
      </x:c>
      <x:c r="I52" s="4" t="n">
        <x:f>IFERROR('Funding'!I38,"Incomplete")</x:f>
        <x:v>180</x:v>
      </x:c>
      <x:c r="J52" s="1"/>
    </x:row>
    <x:row r="53" ht="25" customHeight="1">
      <x:c r="A53" s="1"/>
      <x:c r="B53" s="1"/>
      <x:c r="C53" s="1" t="str">
        <x:v>Retained earnings</x:v>
      </x:c>
      <x:c r="D53" s="2"/>
      <x:c r="E53" s="4" t="n">
        <x:f>IFERROR('Funding'!E39,"Incomplete")</x:f>
        <x:v>346.88</x:v>
      </x:c>
      <x:c r="F53" s="4" t="n">
        <x:f>IFERROR('Funding'!F39,"Incomplete")</x:f>
        <x:v>436.0237680000001</x:v>
      </x:c>
      <x:c r="G53" s="4" t="n">
        <x:f>IFERROR('Funding'!G39,"Incomplete")</x:f>
        <x:v>536.6094633151001</x:v>
      </x:c>
      <x:c r="H53" s="4" t="n">
        <x:f>IFERROR('Funding'!H39,"Incomplete")</x:f>
        <x:v>660.8282288753818</x:v>
      </x:c>
      <x:c r="I53" s="4" t="n">
        <x:f>IFERROR('Funding'!I39,"Incomplete")</x:f>
        <x:v>850.4923953817287</x:v>
      </x:c>
      <x:c r="J53" s="1"/>
    </x:row>
    <x:row r="54" ht="25" customHeight="1">
      <x:c r="A54" s="1"/>
      <x:c r="B54" s="1"/>
      <x:c r="C54" s="20" t="str">
        <x:v>Total equity</x:v>
      </x:c>
      <x:c r="D54" s="21"/>
      <x:c r="E54" s="21" t="n">
        <x:f>IFERROR(SUM(E52:E53),"Incomplete")</x:f>
        <x:v>526.88</x:v>
      </x:c>
      <x:c r="F54" s="21" t="n">
        <x:f>IFERROR(SUM(F52:F53),"Incomplete")</x:f>
        <x:v>616.023768</x:v>
      </x:c>
      <x:c r="G54" s="21" t="n">
        <x:f>IFERROR(SUM(G52:G53),"Incomplete")</x:f>
        <x:v>716.6094633151001</x:v>
      </x:c>
      <x:c r="H54" s="21" t="n">
        <x:f>IFERROR(SUM(H52:H53),"Incomplete")</x:f>
        <x:v>840.8282288753818</x:v>
      </x:c>
      <x:c r="I54" s="21" t="n">
        <x:f>IFERROR(SUM(I52:I53),"Incomplete")</x:f>
        <x:v>1030.4923953817288</x:v>
      </x:c>
      <x:c r="J54" s="1"/>
    </x:row>
    <x:row r="55" ht="25" customHeight="1">
      <x:c r="A55" s="1"/>
      <x:c r="B55" s="1"/>
      <x:c r="C55" s="20" t="str">
        <x:v>Liabilities and equity</x:v>
      </x:c>
      <x:c r="D55" s="21"/>
      <x:c r="E55" s="21" t="n">
        <x:f>IFERROR(E50+E54,"Incomplete")</x:f>
        <x:v>822.856</x:v>
      </x:c>
      <x:c r="F55" s="21" t="n">
        <x:f>IFERROR(F50+F54,"Incomplete")</x:f>
        <x:v>854.7954482</x:v>
      </x:c>
      <x:c r="G55" s="21" t="n">
        <x:f>IFERROR(G50+G54,"Incomplete")</x:f>
        <x:v>872.6705369757851</x:v>
      </x:c>
      <x:c r="H55" s="21" t="n">
        <x:f>IFERROR(H50+H54,"Incomplete")</x:f>
        <x:v>1008.5363459224595</x:v>
      </x:c>
      <x:c r="I55" s="21" t="n">
        <x:f>IFERROR(I50+I54,"Incomplete")</x:f>
        <x:v>1212.571440945269</x:v>
      </x:c>
      <x:c r="J55" s="1"/>
    </x:row>
    <x:row r="56" ht="25" customHeight="1">
      <x:c r="A56" s="1"/>
      <x:c r="B56" s="1"/>
      <x:c r="C56" s="1"/>
      <x:c r="D56" s="2"/>
      <x:c r="E56" s="2"/>
      <x:c r="F56" s="2"/>
      <x:c r="G56" s="2"/>
      <x:c r="H56" s="2"/>
      <x:c r="I56" s="2"/>
      <x:c r="J56" s="1"/>
    </x:row>
    <x:row r="57" ht="25" customHeight="1">
      <x:c r="A57" s="1"/>
      <x:c r="B57" s="1"/>
      <x:c r="C57" s="1"/>
      <x:c r="D57" s="2"/>
      <x:c r="E57" s="2"/>
      <x:c r="F57" s="2"/>
      <x:c r="G57" s="2"/>
      <x:c r="H57" s="2"/>
      <x:c r="I57" s="2"/>
      <x:c r="J57" s="1"/>
    </x:row>
    <x:row r="58" ht="25" customHeight="1">
      <x:c r="A58" s="1"/>
      <x:c r="B58" s="1"/>
      <x:c r="C58" s="20" t="str">
        <x:v>Cash-floor gap</x:v>
      </x:c>
      <x:c r="D58" s="21"/>
      <x:c r="E58" s="22" t="n">
        <x:f>IFERROR('Funding'!E37,"Incomplete")</x:f>
        <x:v>0</x:v>
      </x:c>
      <x:c r="F58" s="22" t="n">
        <x:f>IFERROR('Funding'!F37,"Incomplete")</x:f>
        <x:v>0</x:v>
      </x:c>
      <x:c r="G58" s="22" t="n">
        <x:f>IFERROR('Funding'!G37,"Incomplete")</x:f>
        <x:v>0</x:v>
      </x:c>
      <x:c r="H58" s="22" t="n">
        <x:f>IFERROR('Funding'!H37,"Incomplete")</x:f>
        <x:v>0</x:v>
      </x:c>
      <x:c r="I58" s="22" t="n">
        <x:f>IFERROR('Funding'!I37,"Incomplete")</x:f>
        <x:v>0</x:v>
      </x:c>
      <x:c r="J58" s="1"/>
    </x:row>
    <x:row r="59" ht="25" customHeight="1">
      <x:c r="A59" s="1"/>
      <x:c r="B59" s="1"/>
      <x:c r="C59" s="20" t="str">
        <x:v>Revolver capacity remaining</x:v>
      </x:c>
      <x:c r="D59" s="21"/>
      <x:c r="E59" s="22" t="n">
        <x:f>IFERROR('Assumptions'!$D$9-E49,"Incomplete")</x:f>
        <x:v>101.792</x:v>
      </x:c>
      <x:c r="F59" s="22" t="n">
        <x:f>IFERROR('Assumptions'!$D$9-F49,"Incomplete")</x:f>
        <x:v>110</x:v>
      </x:c>
      <x:c r="G59" s="22" t="n">
        <x:f>IFERROR('Assumptions'!$D$9-G49,"Incomplete")</x:f>
        <x:v>110</x:v>
      </x:c>
      <x:c r="H59" s="22" t="n">
        <x:f>IFERROR('Assumptions'!$D$9-H49,"Incomplete")</x:f>
        <x:v>110</x:v>
      </x:c>
      <x:c r="I59" s="22" t="n">
        <x:f>IFERROR('Assumptions'!$D$9-I49,"Incomplete")</x:f>
        <x:v>110</x:v>
      </x:c>
      <x:c r="J59" s="1"/>
    </x:row>
    <x:row r="60" ht="25" customHeight="1">
      <x:c r="A60" s="1"/>
      <x:c r="B60" s="1"/>
      <x:c r="C60" s="1"/>
      <x:c r="D60" s="2"/>
      <x:c r="E60" s="2"/>
      <x:c r="F60" s="2"/>
      <x:c r="G60" s="2"/>
      <x:c r="H60" s="2"/>
      <x:c r="I60" s="2"/>
      <x:c r="J60" s="1"/>
    </x:row>
    <x:row r="61" ht="25" customHeight="1">
      <x:c r="A61" s="1"/>
      <x:c r="B61" s="1"/>
      <x:c r="C61" s="1"/>
      <x:c r="D61" s="2"/>
      <x:c r="E61" s="2"/>
      <x:c r="F61" s="2"/>
      <x:c r="G61" s="2"/>
      <x:c r="H61" s="2"/>
      <x:c r="I61" s="2"/>
      <x:c r="J61" s="1"/>
    </x:row>
    <x:row r="62" ht="25" customHeight="1">
      <x:c r="A62" s="1"/>
      <x:c r="B62" s="1"/>
      <x:c r="C62" s="1" t="str">
        <x:v>At selected horizon</x:v>
      </x:c>
      <x:c r="D62" s="23" t="n">
        <x:f>IFERROR(INDEX(E8:I8,1,'Assumptions'!$D$7),"Incomplete")</x:f>
        <x:v>2029</x:v>
      </x:c>
      <x:c r="E62" s="2"/>
      <x:c r="F62" s="2"/>
      <x:c r="G62" s="2"/>
      <x:c r="H62" s="2"/>
      <x:c r="I62" s="2"/>
      <x:c r="J62" s="1"/>
    </x:row>
    <x:row r="63" ht="25" customHeight="1">
      <x:c r="A63" s="1"/>
      <x:c r="B63" s="1"/>
      <x:c r="C63" s="1" t="str">
        <x:v>Ending cash / unfunded residual</x:v>
      </x:c>
      <x:c r="D63" s="4" t="n">
        <x:f>IFERROR(IF(COUNTIF(E7:INDEX(E7:I7,1,'Assumptions'!$D$7),"Calculated")='Assumptions'!$D$7,INDEX(E34:I34,1,'Assumptions'!$D$7),"Incomplete"),"Incomplete")</x:f>
        <x:v>144.3140769642651</x:v>
      </x:c>
      <x:c r="E63" s="2"/>
      <x:c r="F63" s="2"/>
      <x:c r="G63" s="2"/>
      <x:c r="H63" s="2"/>
      <x:c r="I63" s="2"/>
      <x:c r="J63" s="1"/>
    </x:row>
    <x:row r="64" ht="25" customHeight="1">
      <x:c r="A64" s="1"/>
      <x:c r="B64" s="1"/>
      <x:c r="C64" s="1" t="str">
        <x:v>Maximum cash-floor gap</x:v>
      </x:c>
      <x:c r="D64" s="4" t="n">
        <x:f>IFERROR(IF(COUNTIF(E7:INDEX(E7:I7,1,'Assumptions'!$D$7),"Calculated")='Assumptions'!$D$7,MAX(E58:INDEX(E58:I58,1,'Assumptions'!$D$7)),"Incomplete"),"Incomplete")</x:f>
        <x:v>0</x:v>
      </x:c>
      <x:c r="E64" s="2"/>
      <x:c r="F64" s="2"/>
      <x:c r="G64" s="2"/>
      <x:c r="H64" s="2"/>
      <x:c r="I64" s="2"/>
      <x:c r="J64" s="1"/>
    </x:row>
    <x:row r="65" ht="25" customHeight="1">
      <x:c r="A65" s="1"/>
      <x:c r="B65" s="1"/>
      <x:c r="C65" s="1" t="str">
        <x:v>Peak revolver</x:v>
      </x:c>
      <x:c r="D65" s="4" t="n">
        <x:f>IFERROR(IF(COUNTIF(E7:INDEX(E7:I7,1,'Assumptions'!$D$7),"Calculated")='Assumptions'!$D$7,MAX(E49:INDEX(E49:I49,1,'Assumptions'!$D$7)),"Incomplete"),"Incomplete")</x:f>
        <x:v>8.207999999999998</x:v>
      </x:c>
      <x:c r="E65" s="2"/>
      <x:c r="F65" s="2"/>
      <x:c r="G65" s="2"/>
      <x:c r="H65" s="2"/>
      <x:c r="I65" s="2"/>
      <x:c r="J65" s="1"/>
    </x:row>
    <x:row r="66" ht="25" customHeight="1">
      <x:c r="A66" s="1"/>
      <x:c r="B66" s="1"/>
      <x:c r="C66" s="1"/>
      <x:c r="D66" s="2"/>
      <x:c r="E66" s="2"/>
      <x:c r="F66" s="2"/>
      <x:c r="G66" s="2"/>
      <x:c r="H66" s="2"/>
      <x:c r="I66" s="2"/>
      <x:c r="J66" s="1"/>
    </x:row>
    <x:row r="67" ht="25" customHeight="1">
      <x:c r="A67" s="1"/>
      <x:c r="B67" s="1"/>
      <x:c r="C67" s="26" t="str">
        <x:v>Negative cash is an unfunded diagnostic residual. It is not usable cash.</x:v>
      </x:c>
      <x:c r="D67" s="27"/>
      <x:c r="E67" s="27"/>
      <x:c r="F67" s="27"/>
      <x:c r="G67" s="27"/>
      <x:c r="H67" s="27"/>
      <x:c r="I67" s="27"/>
      <x:c r="J67" s="1"/>
    </x:row>
    <x:row r="68" ht="25" customHeight="1">
      <x:c r="A68" s="1"/>
      <x:c r="B68" s="1"/>
      <x:c r="C68" s="26"/>
      <x:c r="D68" s="27"/>
      <x:c r="E68" s="27"/>
      <x:c r="F68" s="27"/>
      <x:c r="G68" s="27"/>
      <x:c r="H68" s="27"/>
      <x:c r="I68" s="27"/>
      <x:c r="J68" s="1"/>
    </x:row>
    <x:row r="69" ht="25" customHeight="1">
      <x:c r="A69" s="1"/>
      <x:c r="B69" s="1"/>
      <x:c r="C69" s="1"/>
      <x:c r="D69" s="2"/>
      <x:c r="E69" s="2"/>
      <x:c r="F69" s="2"/>
      <x:c r="G69" s="2"/>
      <x:c r="H69" s="2"/>
      <x:c r="I69" s="2"/>
      <x:c r="J69" s="1"/>
    </x:row>
    <x:row r="70" ht="25" customHeight="1">
      <x:c r="A70" s="1"/>
      <x:c r="B70" s="1"/>
      <x:c r="C70" s="17" t="str">
        <x:v>Funding recommendation (150–250 words)</x:v>
      </x:c>
      <x:c r="D70" s="18"/>
      <x:c r="E70" s="18"/>
      <x:c r="F70" s="18"/>
      <x:c r="G70" s="18"/>
      <x:c r="H70" s="18"/>
      <x:c r="I70" s="18"/>
      <x:c r="J70" s="1"/>
    </x:row>
    <x:row r="71" ht="58" customHeight="1">
      <x:c r="A71" s="1"/>
      <x:c r="B71" s="1"/>
      <x:c r="C71" s="32" t="str">
        <x:v>BASE CHECKPOINT, 3 years, before any input changes: annual closing cash meets 60. First-year CFO 120.792 repays 11.792 revolver. Run downside and five-year cases before approving the plan; confirm lender capacity and monthly cash timing.</x:v>
      </x:c>
      <x:c r="D71" s="33"/>
      <x:c r="E71" s="33"/>
      <x:c r="F71" s="33"/>
      <x:c r="G71" s="33"/>
      <x:c r="H71" s="33"/>
      <x:c r="I71" s="33"/>
      <x:c r="J71" s="1"/>
    </x:row>
    <x:row r="72" ht="58" customHeight="1">
      <x:c r="A72" s="1"/>
      <x:c r="B72" s="1"/>
      <x:c r="C72" s="32"/>
      <x:c r="D72" s="33"/>
      <x:c r="E72" s="33"/>
      <x:c r="F72" s="33"/>
      <x:c r="G72" s="33"/>
      <x:c r="H72" s="33"/>
      <x:c r="I72" s="33"/>
      <x:c r="J72" s="1"/>
    </x:row>
    <x:row r="73" ht="25" customHeight="1">
      <x:c r="A73" s="1"/>
      <x:c r="B73" s="1"/>
      <x:c r="C73" s="17" t="str">
        <x:v>Purpose and version</x:v>
      </x:c>
      <x:c r="D73" s="18"/>
      <x:c r="E73" s="18"/>
      <x:c r="F73" s="18"/>
      <x:c r="G73" s="18"/>
      <x:c r="H73" s="18"/>
      <x:c r="I73" s="18"/>
      <x:c r="J73" s="1"/>
    </x:row>
    <x:row r="74" ht="25" customHeight="1">
      <x:c r="A74" s="1"/>
      <x:c r="B74" s="1"/>
      <x:c r="C74" s="32" t="str">
        <x:v>[Write here]</x:v>
      </x:c>
      <x:c r="D74" s="33"/>
      <x:c r="E74" s="33"/>
      <x:c r="F74" s="33"/>
      <x:c r="G74" s="33"/>
      <x:c r="H74" s="33"/>
      <x:c r="I74" s="33"/>
      <x:c r="J74" s="1"/>
    </x:row>
    <x:row r="75" ht="25" customHeight="1">
      <x:c r="A75" s="1"/>
      <x:c r="B75" s="1"/>
      <x:c r="C75" s="32"/>
      <x:c r="D75" s="33"/>
      <x:c r="E75" s="33"/>
      <x:c r="F75" s="33"/>
      <x:c r="G75" s="33"/>
      <x:c r="H75" s="33"/>
      <x:c r="I75" s="33"/>
      <x:c r="J75" s="1"/>
    </x:row>
    <x:row r="76" ht="25" customHeight="1">
      <x:c r="A76" s="1"/>
      <x:c r="B76" s="1"/>
      <x:c r="C76" s="17" t="str">
        <x:v>Inputs and sources</x:v>
      </x:c>
      <x:c r="D76" s="18"/>
      <x:c r="E76" s="18"/>
      <x:c r="F76" s="18"/>
      <x:c r="G76" s="18"/>
      <x:c r="H76" s="18"/>
      <x:c r="I76" s="18"/>
      <x:c r="J76" s="1"/>
    </x:row>
    <x:row r="77" ht="25" customHeight="1">
      <x:c r="A77" s="1"/>
      <x:c r="B77" s="1"/>
      <x:c r="C77" s="32" t="str">
        <x:v>[Write here]</x:v>
      </x:c>
      <x:c r="D77" s="33"/>
      <x:c r="E77" s="33"/>
      <x:c r="F77" s="33"/>
      <x:c r="G77" s="33"/>
      <x:c r="H77" s="33"/>
      <x:c r="I77" s="33"/>
      <x:c r="J77" s="1"/>
    </x:row>
    <x:row r="78" ht="25" customHeight="1">
      <x:c r="A78" s="1"/>
      <x:c r="B78" s="1"/>
      <x:c r="C78" s="32"/>
      <x:c r="D78" s="33"/>
      <x:c r="E78" s="33"/>
      <x:c r="F78" s="33"/>
      <x:c r="G78" s="33"/>
      <x:c r="H78" s="33"/>
      <x:c r="I78" s="33"/>
      <x:c r="J78" s="1"/>
    </x:row>
    <x:row r="79" ht="25" customHeight="1">
      <x:c r="A79" s="1"/>
      <x:c r="B79" s="1"/>
      <x:c r="C79" s="17" t="str">
        <x:v>Dependencies and change procedure</x:v>
      </x:c>
      <x:c r="D79" s="18"/>
      <x:c r="E79" s="18"/>
      <x:c r="F79" s="18"/>
      <x:c r="G79" s="18"/>
      <x:c r="H79" s="18"/>
      <x:c r="I79" s="18"/>
      <x:c r="J79" s="1"/>
    </x:row>
    <x:row r="80" ht="25" customHeight="1">
      <x:c r="A80" s="1"/>
      <x:c r="B80" s="1"/>
      <x:c r="C80" s="32" t="str">
        <x:v>[Write here]</x:v>
      </x:c>
      <x:c r="D80" s="33"/>
      <x:c r="E80" s="33"/>
      <x:c r="F80" s="33"/>
      <x:c r="G80" s="33"/>
      <x:c r="H80" s="33"/>
      <x:c r="I80" s="33"/>
      <x:c r="J80" s="1"/>
    </x:row>
    <x:row r="81" ht="25" customHeight="1">
      <x:c r="A81" s="1"/>
      <x:c r="B81" s="1"/>
      <x:c r="C81" s="32"/>
      <x:c r="D81" s="33"/>
      <x:c r="E81" s="33"/>
      <x:c r="F81" s="33"/>
      <x:c r="G81" s="33"/>
      <x:c r="H81" s="33"/>
      <x:c r="I81" s="33"/>
      <x:c r="J81" s="1"/>
    </x:row>
    <x:row r="82" ht="25" customHeight="1">
      <x:c r="A82" s="1"/>
      <x:c r="B82" s="1"/>
      <x:c r="C82" s="17" t="str">
        <x:v>Assumptions and timing</x:v>
      </x:c>
      <x:c r="D82" s="18"/>
      <x:c r="E82" s="18"/>
      <x:c r="F82" s="18"/>
      <x:c r="G82" s="18"/>
      <x:c r="H82" s="18"/>
      <x:c r="I82" s="18"/>
      <x:c r="J82" s="1"/>
    </x:row>
    <x:row r="83" ht="25" customHeight="1">
      <x:c r="A83" s="1"/>
      <x:c r="B83" s="1"/>
      <x:c r="C83" s="32" t="str">
        <x:v>[Write here]</x:v>
      </x:c>
      <x:c r="D83" s="33"/>
      <x:c r="E83" s="33"/>
      <x:c r="F83" s="33"/>
      <x:c r="G83" s="33"/>
      <x:c r="H83" s="33"/>
      <x:c r="I83" s="33"/>
      <x:c r="J83" s="1"/>
    </x:row>
    <x:row r="84" ht="25" customHeight="1">
      <x:c r="A84" s="1"/>
      <x:c r="B84" s="1"/>
      <x:c r="C84" s="32"/>
      <x:c r="D84" s="33"/>
      <x:c r="E84" s="33"/>
      <x:c r="F84" s="33"/>
      <x:c r="G84" s="33"/>
      <x:c r="H84" s="33"/>
      <x:c r="I84" s="33"/>
      <x:c r="J84" s="1"/>
    </x:row>
    <x:row r="85" ht="25" customHeight="1">
      <x:c r="A85" s="1"/>
      <x:c r="B85" s="1"/>
      <x:c r="C85" s="17" t="str">
        <x:v>Limitations and review judgments</x:v>
      </x:c>
      <x:c r="D85" s="18"/>
      <x:c r="E85" s="18"/>
      <x:c r="F85" s="18"/>
      <x:c r="G85" s="18"/>
      <x:c r="H85" s="18"/>
      <x:c r="I85" s="18"/>
      <x:c r="J85" s="1"/>
    </x:row>
    <x:row r="86" ht="25" customHeight="1">
      <x:c r="A86" s="1"/>
      <x:c r="B86" s="1"/>
      <x:c r="C86" s="32" t="str">
        <x:v>[Write here]</x:v>
      </x:c>
      <x:c r="D86" s="33"/>
      <x:c r="E86" s="33"/>
      <x:c r="F86" s="33"/>
      <x:c r="G86" s="33"/>
      <x:c r="H86" s="33"/>
      <x:c r="I86" s="33"/>
      <x:c r="J86" s="1"/>
    </x:row>
    <x:row r="87" ht="25" customHeight="1">
      <x:c r="A87" s="1"/>
      <x:c r="B87" s="1"/>
      <x:c r="C87" s="32"/>
      <x:c r="D87" s="33"/>
      <x:c r="E87" s="33"/>
      <x:c r="F87" s="33"/>
      <x:c r="G87" s="33"/>
      <x:c r="H87" s="33"/>
      <x:c r="I87" s="33"/>
      <x:c r="J87" s="1"/>
    </x:row>
    <x:row r="88" ht="25" customHeight="1">
      <x:c r="A88" s="1"/>
      <x:c r="B88" s="1"/>
      <x:c r="C88" s="17" t="str">
        <x:v>Checks and scenario / horizon tests</x:v>
      </x:c>
      <x:c r="D88" s="18"/>
      <x:c r="E88" s="18"/>
      <x:c r="F88" s="18"/>
      <x:c r="G88" s="18"/>
      <x:c r="H88" s="18"/>
      <x:c r="I88" s="18"/>
      <x:c r="J88" s="1"/>
    </x:row>
    <x:row r="89" ht="25" customHeight="1">
      <x:c r="A89" s="1"/>
      <x:c r="B89" s="1"/>
      <x:c r="C89" s="32" t="str">
        <x:v>[Write here]</x:v>
      </x:c>
      <x:c r="D89" s="33"/>
      <x:c r="E89" s="33"/>
      <x:c r="F89" s="33"/>
      <x:c r="G89" s="33"/>
      <x:c r="H89" s="33"/>
      <x:c r="I89" s="33"/>
      <x:c r="J89" s="1"/>
    </x:row>
    <x:row r="90" ht="25" customHeight="1">
      <x:c r="A90" s="1"/>
      <x:c r="B90" s="1"/>
      <x:c r="C90" s="32"/>
      <x:c r="D90" s="33"/>
      <x:c r="E90" s="33"/>
      <x:c r="F90" s="33"/>
      <x:c r="G90" s="33"/>
      <x:c r="H90" s="33"/>
      <x:c r="I90" s="33"/>
      <x:c r="J90" s="1"/>
    </x:row>
    <x:row r="91" ht="25" customHeight="1">
      <x:c r="A91" s="1"/>
      <x:c r="B91" s="1"/>
      <x:c r="C91" s="17" t="str">
        <x:v>Reviewer and unresolved actions</x:v>
      </x:c>
      <x:c r="D91" s="18"/>
      <x:c r="E91" s="18"/>
      <x:c r="F91" s="18"/>
      <x:c r="G91" s="18"/>
      <x:c r="H91" s="18"/>
      <x:c r="I91" s="18"/>
      <x:c r="J91" s="1"/>
    </x:row>
    <x:row r="92" ht="25" customHeight="1">
      <x:c r="A92" s="1"/>
      <x:c r="B92" s="1"/>
      <x:c r="C92" s="32" t="str">
        <x:v>[Write here]</x:v>
      </x:c>
      <x:c r="D92" s="33"/>
      <x:c r="E92" s="33"/>
      <x:c r="F92" s="33"/>
      <x:c r="G92" s="33"/>
      <x:c r="H92" s="33"/>
      <x:c r="I92" s="33"/>
      <x:c r="J92" s="1"/>
    </x:row>
    <x:row r="93" ht="25" customHeight="1">
      <x:c r="A93" s="1"/>
      <x:c r="B93" s="1"/>
      <x:c r="C93" s="32"/>
      <x:c r="D93" s="33"/>
      <x:c r="E93" s="33"/>
      <x:c r="F93" s="33"/>
      <x:c r="G93" s="33"/>
      <x:c r="H93" s="33"/>
      <x:c r="I93" s="33"/>
      <x:c r="J93" s="1"/>
    </x:row>
    <x:row r="94" ht="25" customHeight="1">
      <x:c r="A94" s="1"/>
      <x:c r="B94" s="1"/>
      <x:c r="C94" s="1"/>
      <x:c r="D94" s="2"/>
      <x:c r="E94" s="2"/>
      <x:c r="F94" s="2"/>
      <x:c r="G94" s="2"/>
      <x:c r="H94" s="2"/>
      <x:c r="I94" s="2"/>
      <x:c r="J94" s="1"/>
    </x:row>
    <x:row r="95" ht="25" customHeight="1">
      <x:c r="A95" s="1"/>
      <x:c r="B95" s="1"/>
      <x:c r="C95" s="1"/>
      <x:c r="D95" s="2"/>
      <x:c r="E95" s="2"/>
      <x:c r="F95" s="2"/>
      <x:c r="G95" s="2"/>
      <x:c r="H95" s="2"/>
      <x:c r="I95" s="2"/>
      <x:c r="J95" s="1"/>
    </x:row>
    <x:row r="96" ht="25" customHeight="1">
      <x:c r="A96" s="1"/>
      <x:c r="B96" s="1"/>
      <x:c r="C96" s="1"/>
      <x:c r="D96" s="2"/>
      <x:c r="E96" s="2"/>
      <x:c r="F96" s="2"/>
      <x:c r="G96" s="2"/>
      <x:c r="H96" s="2"/>
      <x:c r="I96" s="2"/>
      <x:c r="J96" s="1"/>
    </x:row>
    <x:row r="97" ht="25" customHeight="1">
      <x:c r="A97" s="1"/>
      <x:c r="B97" s="1"/>
      <x:c r="C97" s="1"/>
      <x:c r="D97" s="2"/>
      <x:c r="E97" s="2"/>
      <x:c r="F97" s="2"/>
      <x:c r="G97" s="2"/>
      <x:c r="H97" s="2"/>
      <x:c r="I97" s="2"/>
      <x:c r="J97" s="1"/>
    </x:row>
    <x:row r="98" ht="25" customHeight="1">
      <x:c r="A98" s="1"/>
      <x:c r="B98" s="1"/>
      <x:c r="C98" s="1"/>
      <x:c r="D98" s="2"/>
      <x:c r="E98" s="2"/>
      <x:c r="F98" s="2"/>
      <x:c r="G98" s="2"/>
      <x:c r="H98" s="2"/>
      <x:c r="I98" s="2"/>
      <x:c r="J98" s="1"/>
    </x:row>
    <x:row r="99" ht="25" customHeight="1">
      <x:c r="A99" s="1"/>
      <x:c r="B99" s="1"/>
      <x:c r="C99" s="1"/>
      <x:c r="D99" s="2"/>
      <x:c r="E99" s="2"/>
      <x:c r="F99" s="2"/>
      <x:c r="G99" s="2"/>
      <x:c r="H99" s="2"/>
      <x:c r="I99" s="2"/>
      <x:c r="J99" s="1"/>
    </x:row>
    <x:row r="100" ht="25" customHeight="1">
      <x:c r="A100" s="1"/>
      <x:c r="B100" s="1"/>
      <x:c r="C100" s="1"/>
      <x:c r="D100" s="2"/>
      <x:c r="E100" s="2"/>
      <x:c r="F100" s="2"/>
      <x:c r="G100" s="2"/>
      <x:c r="H100" s="2"/>
      <x:c r="I100" s="2"/>
      <x:c r="J100" s="1"/>
    </x:row>
  </x:sheetData>
  <x:mergeCells>
    <x:mergeCell ref="C2:I2"/>
    <x:mergeCell ref="C5:I5"/>
    <x:mergeCell ref="C67:I68"/>
    <x:mergeCell ref="C70:I70"/>
    <x:mergeCell ref="C71:I72"/>
    <x:mergeCell ref="C73:I73"/>
    <x:mergeCell ref="C74:I75"/>
    <x:mergeCell ref="C76:I76"/>
    <x:mergeCell ref="C77:I78"/>
    <x:mergeCell ref="C79:I79"/>
    <x:mergeCell ref="C80:I81"/>
    <x:mergeCell ref="C82:I82"/>
    <x:mergeCell ref="C83:I84"/>
    <x:mergeCell ref="C85:I85"/>
    <x:mergeCell ref="C86:I87"/>
    <x:mergeCell ref="C88:I88"/>
    <x:mergeCell ref="C89:I90"/>
    <x:mergeCell ref="C91:I91"/>
    <x:mergeCell ref="C92:I9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3D75C6"/>
  </x:sheetPr>
  <x:sheetViews>
    <x:sheetView showGridLines="0" workbookViewId="0">
      <x:pane xSplit="4" ySplit="9" topLeftCell="E10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43" hidden="0" customWidth="1"/>
    <x:col min="4" max="4" width="19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44" customHeight="1">
      <x:c r="A2" s="1"/>
      <x:c r="B2" s="1"/>
      <x:c r="C2" s="6" t="str">
        <x:v>Assumptions</x:v>
      </x:c>
      <x:c r="D2" s="6"/>
      <x:c r="E2" s="6"/>
      <x:c r="F2" s="6"/>
      <x:c r="G2" s="6"/>
      <x:c r="H2" s="6"/>
      <x:c r="I2" s="6"/>
      <x:c r="J2" s="1"/>
    </x:row>
    <x:row r="3" ht="25" customHeight="1">
      <x:c r="A3" s="1"/>
      <x:c r="B3" s="1"/>
      <x:c r="C3" s="1" t="str">
        <x:v>Selected case</x:v>
      </x:c>
      <x:c r="D3" s="8" t="str">
        <x:f>IFERROR(IFERROR(CHOOSE('Assumptions'!$D$6,"Base","Downside","Upside"),"Invalid case"),"Incomplete")</x:f>
        <x:v>Base</x:v>
      </x:c>
      <x:c r="E3" s="1"/>
      <x:c r="F3" s="1"/>
      <x:c r="G3" s="1"/>
      <x:c r="H3" s="1"/>
      <x:c r="I3" s="1"/>
      <x:c r="J3" s="1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25" customHeight="1">
      <x:c r="A5" s="1"/>
      <x:c r="B5" s="1"/>
      <x:c r="C5" s="7" t="str">
        <x:v>USD thousands unless stated</x:v>
      </x:c>
      <x:c r="D5" s="7"/>
      <x:c r="E5" s="7"/>
      <x:c r="F5" s="7"/>
      <x:c r="G5" s="7"/>
      <x:c r="H5" s="7"/>
      <x:c r="I5" s="7"/>
      <x:c r="J5" s="1"/>
    </x:row>
    <x:row r="6" ht="25" customHeight="1">
      <x:c r="A6" s="1"/>
      <x:c r="B6" s="1"/>
      <x:c r="C6" s="1" t="str">
        <x:v>Scenario: 1 Base · 2 Down · 3 Up</x:v>
      </x:c>
      <x:c r="D6" s="36" t="n">
        <x:v>1</x:v>
      </x:c>
      <x:c r="E6" s="2"/>
      <x:c r="F6" s="2"/>
      <x:c r="G6" s="2"/>
      <x:c r="H6" s="2"/>
      <x:c r="I6" s="2"/>
      <x:c r="J6" s="1"/>
    </x:row>
    <x:row r="7" ht="25" customHeight="1">
      <x:c r="A7" s="1"/>
      <x:c r="B7" s="1"/>
      <x:c r="C7" s="1" t="str">
        <x:v>Horizon in years: 1–5</x:v>
      </x:c>
      <x:c r="D7" s="36" t="n">
        <x:v>3</x:v>
      </x:c>
      <x:c r="E7" s="2"/>
      <x:c r="F7" s="2"/>
      <x:c r="G7" s="2"/>
      <x:c r="H7" s="2"/>
      <x:c r="I7" s="2"/>
      <x:c r="J7" s="1"/>
    </x:row>
    <x:row r="8" ht="25" customHeight="1">
      <x:c r="A8" s="1"/>
      <x:c r="B8" s="1"/>
      <x:c r="C8" s="9" t="str">
        <x:v>Minimum annual closing cash</x:v>
      </x:c>
      <x:c r="D8" s="35" t="n">
        <x:v>60</x:v>
      </x:c>
      <x:c r="E8" s="12" t="n">
        <x:f>IFERROR('History'!$F$6+1,"Incomplete")</x:f>
        <x:v>2027</x:v>
      </x:c>
      <x:c r="F8" s="12" t="n">
        <x:f>IFERROR('History'!$F$6+2,"Incomplete")</x:f>
        <x:v>2028</x:v>
      </x:c>
      <x:c r="G8" s="12" t="n">
        <x:f>IFERROR('History'!$F$6+3,"Incomplete")</x:f>
        <x:v>2029</x:v>
      </x:c>
      <x:c r="H8" s="12" t="n">
        <x:f>IFERROR('History'!$F$6+4,"Incomplete")</x:f>
        <x:v>2030</x:v>
      </x:c>
      <x:c r="I8" s="12" t="n">
        <x:f>IFERROR('History'!$F$6+5,"Incomplete")</x:f>
        <x:v>2031</x:v>
      </x:c>
      <x:c r="J8" s="1"/>
    </x:row>
    <x:row r="9" ht="25" customHeight="1">
      <x:c r="A9" s="1"/>
      <x:c r="B9" s="1"/>
      <x:c r="C9" s="1" t="str">
        <x:v>Committed revolver facility</x:v>
      </x:c>
      <x:c r="D9" s="31" t="n">
        <x:v>110</x:v>
      </x:c>
      <x:c r="E9" s="13" t="str">
        <x:f>IFERROR(IF(1&lt;='Assumptions'!$D$7,"In horizon","Beyond horizon"),"Incomplete")</x:f>
        <x:v>In horizon</x:v>
      </x:c>
      <x:c r="F9" s="13" t="str">
        <x:f>IFERROR(IF(2&lt;='Assumptions'!$D$7,"In horizon","Beyond horizon"),"Incomplete")</x:f>
        <x:v>In horizon</x:v>
      </x:c>
      <x:c r="G9" s="13" t="str">
        <x:f>IFERROR(IF(3&lt;='Assumptions'!$D$7,"In horizon","Beyond horizon"),"Incomplete")</x:f>
        <x:v>In horizon</x:v>
      </x:c>
      <x:c r="H9" s="13" t="str">
        <x:f>IFERROR(IF(4&lt;='Assumptions'!$D$7,"In horizon","Beyond horizon"),"Incomplete")</x:f>
        <x:v>Beyond horizon</x:v>
      </x:c>
      <x:c r="I9" s="13" t="str">
        <x:f>IFERROR(IF(5&lt;='Assumptions'!$D$7,"In horizon","Beyond horizon"),"Incomplete")</x:f>
        <x:v>Beyond horizon</x:v>
      </x:c>
      <x:c r="J9" s="1"/>
    </x:row>
    <x:row r="10" ht="25" customHeight="1">
      <x:c r="A10" s="1"/>
      <x:c r="B10" s="1"/>
      <x:c r="C10" s="1" t="str">
        <x:v>Annual mandatory term principal</x:v>
      </x:c>
      <x:c r="D10" s="31" t="n">
        <x:v>25</x:v>
      </x:c>
      <x:c r="E10" s="2"/>
      <x:c r="F10" s="2"/>
      <x:c r="G10" s="2"/>
      <x:c r="H10" s="2"/>
      <x:c r="I10" s="2"/>
      <x:c r="J10" s="1"/>
    </x:row>
    <x:row r="11" ht="25" customHeight="1">
      <x:c r="A11" s="1"/>
      <x:c r="B11" s="1"/>
      <x:c r="C11" s="1" t="str">
        <x:v>Share of surplus for term sweep</x:v>
      </x:c>
      <x:c r="D11" s="37" t="n">
        <x:v>0.5</x:v>
      </x:c>
      <x:c r="E11" s="2"/>
      <x:c r="F11" s="2"/>
      <x:c r="G11" s="2"/>
      <x:c r="H11" s="2"/>
      <x:c r="I11" s="2"/>
      <x:c r="J11" s="1"/>
    </x:row>
    <x:row r="12" ht="25" customHeight="1">
      <x:c r="A12" s="1"/>
      <x:c r="B12" s="1"/>
      <x:c r="C12" s="1" t="str">
        <x:v>Annual debt interest rate</x:v>
      </x:c>
      <x:c r="D12" s="37" t="n">
        <x:v>0.09</x:v>
      </x:c>
      <x:c r="E12" s="2"/>
      <x:c r="F12" s="2"/>
      <x:c r="G12" s="2"/>
      <x:c r="H12" s="2"/>
      <x:c r="I12" s="2"/>
      <x:c r="J12" s="1"/>
    </x:row>
    <x:row r="13" ht="25" customHeight="1">
      <x:c r="A13" s="1"/>
      <x:c r="B13" s="1"/>
      <x:c r="C13" s="1" t="str">
        <x:v>Current tax rate</x:v>
      </x:c>
      <x:c r="D13" s="37" t="n">
        <x:v>0.25</x:v>
      </x:c>
      <x:c r="E13" s="2"/>
      <x:c r="F13" s="2"/>
      <x:c r="G13" s="2"/>
      <x:c r="H13" s="2"/>
      <x:c r="I13" s="2"/>
      <x:c r="J13" s="1"/>
    </x:row>
    <x:row r="14" ht="25" customHeight="1">
      <x:c r="A14" s="1"/>
      <x:c r="B14" s="1"/>
      <x:c r="C14" s="1" t="str">
        <x:v>Current tax unpaid at year end</x:v>
      </x:c>
      <x:c r="D14" s="37" t="n">
        <x:v>0.25</x:v>
      </x:c>
      <x:c r="E14" s="2"/>
      <x:c r="F14" s="2"/>
      <x:c r="G14" s="2"/>
      <x:c r="H14" s="2"/>
      <x:c r="I14" s="2"/>
      <x:c r="J14" s="1"/>
    </x:row>
    <x:row r="15" ht="25" customHeight="1">
      <x:c r="A15" s="1"/>
      <x:c r="B15" s="1"/>
      <x:c r="C15" s="1" t="str">
        <x:v>PP&amp;E remaining/new useful life</x:v>
      </x:c>
      <x:c r="D15" s="36" t="n">
        <x:v>4</x:v>
      </x:c>
      <x:c r="E15" s="2"/>
      <x:c r="F15" s="2"/>
      <x:c r="G15" s="2"/>
      <x:c r="H15" s="2"/>
      <x:c r="I15" s="2"/>
      <x:c r="J15" s="1"/>
    </x:row>
    <x:row r="16" ht="25" customHeight="1">
      <x:c r="A16" s="1"/>
      <x:c r="B16" s="1"/>
      <x:c r="C16" s="1" t="str">
        <x:v>Software remaining/new useful life</x:v>
      </x:c>
      <x:c r="D16" s="36" t="n">
        <x:v>3</x:v>
      </x:c>
      <x:c r="E16" s="2"/>
      <x:c r="F16" s="2"/>
      <x:c r="G16" s="2"/>
      <x:c r="H16" s="2"/>
      <x:c r="I16" s="2"/>
      <x:c r="J16" s="1"/>
    </x:row>
    <x:row r="17" ht="25" customHeight="1">
      <x:c r="A17" s="1"/>
      <x:c r="B17" s="1"/>
      <x:c r="C17" s="1"/>
      <x:c r="D17" s="2"/>
      <x:c r="E17" s="2"/>
      <x:c r="F17" s="2"/>
      <x:c r="G17" s="2"/>
      <x:c r="H17" s="2"/>
      <x:c r="I17" s="2"/>
      <x:c r="J17" s="1"/>
    </x:row>
    <x:row r="18" ht="25" customHeight="1">
      <x:c r="A18" s="1"/>
      <x:c r="B18" s="1"/>
      <x:c r="C18" s="1" t="str">
        <x:v>Control validity</x:v>
      </x:c>
      <x:c r="D18" s="4" t="str">
        <x:f>IFERROR(IF(AND(COUNT(D6:D16)=11,D6=INT(D6),D6&gt;=1,D6&lt;=3,D7=INT(D7),D7&gt;=1,D7&lt;=5,D8&gt;=0,D9&gt;='History'!$F$32,D10&gt;=0,D11&gt;=0,D11&lt;=1,D12&gt;=0,D13&gt;=0,D13&lt;=1,D14&gt;=0,D14&lt;=1,D15&gt;=1,D15=INT(D15),D16&gt;=1,D16=INT(D16)),"Valid","Invalid controls"),"Incomplete")</x:f>
        <x:v>Valid</x:v>
      </x:c>
      <x:c r="E18" s="2"/>
      <x:c r="F18" s="2"/>
      <x:c r="G18" s="2"/>
      <x:c r="H18" s="2"/>
      <x:c r="I18" s="2"/>
      <x:c r="J18" s="1"/>
    </x:row>
    <x:row r="19" ht="25" customHeight="1">
      <x:c r="A19" s="1"/>
      <x:c r="B19" s="1"/>
      <x:c r="C19" s="1"/>
      <x:c r="D19" s="2"/>
      <x:c r="E19" s="2"/>
      <x:c r="F19" s="2"/>
      <x:c r="G19" s="2"/>
      <x:c r="H19" s="2"/>
      <x:c r="I19" s="2"/>
      <x:c r="J19" s="1"/>
    </x:row>
    <x:row r="20" ht="25" customHeight="1">
      <x:c r="A20" s="1"/>
      <x:c r="B20" s="1"/>
      <x:c r="C20" s="1"/>
      <x:c r="D20" s="2"/>
      <x:c r="E20" s="2"/>
      <x:c r="F20" s="2"/>
      <x:c r="G20" s="2"/>
      <x:c r="H20" s="2"/>
      <x:c r="I20" s="2"/>
      <x:c r="J20" s="1"/>
    </x:row>
    <x:row r="21" ht="25" customHeight="1">
      <x:c r="A21" s="1"/>
      <x:c r="B21" s="1"/>
      <x:c r="C21" s="1"/>
      <x:c r="D21" s="2"/>
      <x:c r="E21" s="2"/>
      <x:c r="F21" s="2"/>
      <x:c r="G21" s="2"/>
      <x:c r="H21" s="2"/>
      <x:c r="I21" s="2"/>
      <x:c r="J21" s="1"/>
    </x:row>
    <x:row r="22" ht="25" customHeight="1">
      <x:c r="A22" s="1"/>
      <x:c r="B22" s="1"/>
      <x:c r="C22" s="40" t="str">
        <x:v>Volume growth — active</x:v>
      </x:c>
      <x:c r="D22" s="41"/>
      <x:c r="E22" s="42" t="n">
        <x:f>IFERROR(IF($D$18="Valid",IF(CHOOSE($D$6,COUNT(E23),COUNT(E24),COUNT(E25))=1,CHOOSE($D$6,E23,E24,E25),"Missing driver"),"Invalid controls"),"Incomplete")</x:f>
        <x:v>0.12</x:v>
      </x:c>
      <x:c r="F22" s="42" t="n">
        <x:f>IFERROR(IF($D$18="Valid",IF(CHOOSE($D$6,COUNT(F23),COUNT(F24),COUNT(F25))=1,CHOOSE($D$6,F23,F24,F25),"Missing driver"),"Invalid controls"),"Incomplete")</x:f>
        <x:v>0.08</x:v>
      </x:c>
      <x:c r="G22" s="42" t="n">
        <x:f>IFERROR(IF($D$18="Valid",IF(CHOOSE($D$6,COUNT(G23),COUNT(G24),COUNT(G25))=1,CHOOSE($D$6,G23,G24,G25),"Missing driver"),"Invalid controls"),"Incomplete")</x:f>
        <x:v>0.06</x:v>
      </x:c>
      <x:c r="H22" s="42" t="n">
        <x:f>IFERROR(IF($D$18="Valid",IF(CHOOSE($D$6,COUNT(H23),COUNT(H24),COUNT(H25))=1,CHOOSE($D$6,H23,H24,H25),"Missing driver"),"Invalid controls"),"Incomplete")</x:f>
        <x:v>0.05</x:v>
      </x:c>
      <x:c r="I22" s="42" t="n">
        <x:f>IFERROR(IF($D$18="Valid",IF(CHOOSE($D$6,COUNT(I23),COUNT(I24),COUNT(I25))=1,CHOOSE($D$6,I23,I24,I25),"Missing driver"),"Invalid controls"),"Incomplete")</x:f>
        <x:v>0.04</x:v>
      </x:c>
      <x:c r="J22" s="1"/>
    </x:row>
    <x:row r="23" ht="25" customHeight="1">
      <x:c r="A23" s="1"/>
      <x:c r="B23" s="1"/>
      <x:c r="C23" s="1" t="str">
        <x:v>Base</x:v>
      </x:c>
      <x:c r="D23" s="2"/>
      <x:c r="E23" s="37" t="n">
        <x:v>0.12</x:v>
      </x:c>
      <x:c r="F23" s="37" t="n">
        <x:v>0.08</x:v>
      </x:c>
      <x:c r="G23" s="37" t="n">
        <x:v>0.06</x:v>
      </x:c>
      <x:c r="H23" s="37" t="n">
        <x:v>0.05</x:v>
      </x:c>
      <x:c r="I23" s="37" t="n">
        <x:v>0.04</x:v>
      </x:c>
      <x:c r="J23" s="1"/>
    </x:row>
    <x:row r="24" ht="25" customHeight="1">
      <x:c r="A24" s="1"/>
      <x:c r="B24" s="1"/>
      <x:c r="C24" s="1" t="str">
        <x:v>Downside</x:v>
      </x:c>
      <x:c r="D24" s="2"/>
      <x:c r="E24" s="37" t="n">
        <x:v>-0.1</x:v>
      </x:c>
      <x:c r="F24" s="37" t="n">
        <x:v>0</x:v>
      </x:c>
      <x:c r="G24" s="37" t="n">
        <x:v>0.01</x:v>
      </x:c>
      <x:c r="H24" s="37" t="n">
        <x:v>0.03</x:v>
      </x:c>
      <x:c r="I24" s="37" t="n">
        <x:v>0.03</x:v>
      </x:c>
      <x:c r="J24" s="1"/>
    </x:row>
    <x:row r="25" ht="25" customHeight="1">
      <x:c r="A25" s="1"/>
      <x:c r="B25" s="1"/>
      <x:c r="C25" s="1" t="str">
        <x:v>Upside</x:v>
      </x:c>
      <x:c r="D25" s="2"/>
      <x:c r="E25" s="37" t="n">
        <x:v>0.12</x:v>
      </x:c>
      <x:c r="F25" s="37" t="n">
        <x:v>0.08</x:v>
      </x:c>
      <x:c r="G25" s="37" t="n">
        <x:v>0.06</x:v>
      </x:c>
      <x:c r="H25" s="37" t="n">
        <x:v>0.05</x:v>
      </x:c>
      <x:c r="I25" s="37" t="n">
        <x:v>0.04</x:v>
      </x:c>
      <x:c r="J25" s="1"/>
    </x:row>
    <x:row r="26" ht="25" customHeight="1">
      <x:c r="A26" s="1"/>
      <x:c r="B26" s="1"/>
      <x:c r="C26" s="40" t="str">
        <x:v>Price growth — active</x:v>
      </x:c>
      <x:c r="D26" s="41"/>
      <x:c r="E26" s="42" t="n">
        <x:f>IFERROR(IF($D$18="Valid",IF(CHOOSE($D$6,COUNT(E27),COUNT(E28),COUNT(E29))=1,CHOOSE($D$6,E27,E28,E29),"Missing driver"),"Invalid controls"),"Incomplete")</x:f>
        <x:v>0.02</x:v>
      </x:c>
      <x:c r="F26" s="42" t="n">
        <x:f>IFERROR(IF($D$18="Valid",IF(CHOOSE($D$6,COUNT(F27),COUNT(F28),COUNT(F29))=1,CHOOSE($D$6,F27,F28,F29),"Missing driver"),"Invalid controls"),"Incomplete")</x:f>
        <x:v>0.02</x:v>
      </x:c>
      <x:c r="G26" s="42" t="n">
        <x:f>IFERROR(IF($D$18="Valid",IF(CHOOSE($D$6,COUNT(G27),COUNT(G28),COUNT(G29))=1,CHOOSE($D$6,G27,G28,G29),"Missing driver"),"Invalid controls"),"Incomplete")</x:f>
        <x:v>0.02</x:v>
      </x:c>
      <x:c r="H26" s="42" t="n">
        <x:f>IFERROR(IF($D$18="Valid",IF(CHOOSE($D$6,COUNT(H27),COUNT(H28),COUNT(H29))=1,CHOOSE($D$6,H27,H28,H29),"Missing driver"),"Invalid controls"),"Incomplete")</x:f>
        <x:v>0.02</x:v>
      </x:c>
      <x:c r="I26" s="42" t="n">
        <x:f>IFERROR(IF($D$18="Valid",IF(CHOOSE($D$6,COUNT(I27),COUNT(I28),COUNT(I29))=1,CHOOSE($D$6,I27,I28,I29),"Missing driver"),"Invalid controls"),"Incomplete")</x:f>
        <x:v>0.02</x:v>
      </x:c>
      <x:c r="J26" s="1"/>
    </x:row>
    <x:row r="27" ht="25" customHeight="1">
      <x:c r="A27" s="1"/>
      <x:c r="B27" s="1"/>
      <x:c r="C27" s="1" t="str">
        <x:v>Base</x:v>
      </x:c>
      <x:c r="D27" s="2"/>
      <x:c r="E27" s="37" t="n">
        <x:v>0.02</x:v>
      </x:c>
      <x:c r="F27" s="37" t="n">
        <x:v>0.02</x:v>
      </x:c>
      <x:c r="G27" s="37" t="n">
        <x:v>0.02</x:v>
      </x:c>
      <x:c r="H27" s="37" t="n">
        <x:v>0.02</x:v>
      </x:c>
      <x:c r="I27" s="37" t="n">
        <x:v>0.02</x:v>
      </x:c>
      <x:c r="J27" s="1"/>
    </x:row>
    <x:row r="28" ht="25" customHeight="1">
      <x:c r="A28" s="1"/>
      <x:c r="B28" s="1"/>
      <x:c r="C28" s="1" t="str">
        <x:v>Downside</x:v>
      </x:c>
      <x:c r="D28" s="2"/>
      <x:c r="E28" s="37" t="n">
        <x:v>0.02</x:v>
      </x:c>
      <x:c r="F28" s="37" t="n">
        <x:v>0.02</x:v>
      </x:c>
      <x:c r="G28" s="37" t="n">
        <x:v>0.02</x:v>
      </x:c>
      <x:c r="H28" s="37" t="n">
        <x:v>0.02</x:v>
      </x:c>
      <x:c r="I28" s="37" t="n">
        <x:v>0.02</x:v>
      </x:c>
      <x:c r="J28" s="1"/>
    </x:row>
    <x:row r="29" ht="25" customHeight="1">
      <x:c r="A29" s="1"/>
      <x:c r="B29" s="1"/>
      <x:c r="C29" s="1" t="str">
        <x:v>Upside</x:v>
      </x:c>
      <x:c r="D29" s="2"/>
      <x:c r="E29" s="37" t="n">
        <x:v>0.02</x:v>
      </x:c>
      <x:c r="F29" s="37" t="n">
        <x:v>0.02</x:v>
      </x:c>
      <x:c r="G29" s="37" t="n">
        <x:v>0.02</x:v>
      </x:c>
      <x:c r="H29" s="37" t="n">
        <x:v>0.02</x:v>
      </x:c>
      <x:c r="I29" s="37" t="n">
        <x:v>0.02</x:v>
      </x:c>
      <x:c r="J29" s="1"/>
    </x:row>
    <x:row r="30" ht="25" customHeight="1">
      <x:c r="A30" s="1"/>
      <x:c r="B30" s="1"/>
      <x:c r="C30" s="40" t="str">
        <x:v>COGS / revenue — active</x:v>
      </x:c>
      <x:c r="D30" s="41"/>
      <x:c r="E30" s="42" t="n">
        <x:f>IFERROR(IF($D$18="Valid",IF(CHOOSE($D$6,COUNT(E31),COUNT(E32),COUNT(E33))=1,CHOOSE($D$6,E31,E32,E33),"Missing driver"),"Invalid controls"),"Incomplete")</x:f>
        <x:v>0.6</x:v>
      </x:c>
      <x:c r="F30" s="42" t="n">
        <x:f>IFERROR(IF($D$18="Valid",IF(CHOOSE($D$6,COUNT(F31),COUNT(F32),COUNT(F33))=1,CHOOSE($D$6,F31,F32,F33),"Missing driver"),"Invalid controls"),"Incomplete")</x:f>
        <x:v>0.6</x:v>
      </x:c>
      <x:c r="G30" s="42" t="n">
        <x:f>IFERROR(IF($D$18="Valid",IF(CHOOSE($D$6,COUNT(G31),COUNT(G32),COUNT(G33))=1,CHOOSE($D$6,G31,G32,G33),"Missing driver"),"Invalid controls"),"Incomplete")</x:f>
        <x:v>0.6</x:v>
      </x:c>
      <x:c r="H30" s="42" t="n">
        <x:f>IFERROR(IF($D$18="Valid",IF(CHOOSE($D$6,COUNT(H31),COUNT(H32),COUNT(H33))=1,CHOOSE($D$6,H31,H32,H33),"Missing driver"),"Invalid controls"),"Incomplete")</x:f>
        <x:v>0.6</x:v>
      </x:c>
      <x:c r="I30" s="42" t="n">
        <x:f>IFERROR(IF($D$18="Valid",IF(CHOOSE($D$6,COUNT(I31),COUNT(I32),COUNT(I33))=1,CHOOSE($D$6,I31,I32,I33),"Missing driver"),"Invalid controls"),"Incomplete")</x:f>
        <x:v>0.6</x:v>
      </x:c>
      <x:c r="J30" s="1"/>
    </x:row>
    <x:row r="31" ht="25" customHeight="1">
      <x:c r="A31" s="1"/>
      <x:c r="B31" s="1"/>
      <x:c r="C31" s="1" t="str">
        <x:v>Base</x:v>
      </x:c>
      <x:c r="D31" s="2"/>
      <x:c r="E31" s="37" t="n">
        <x:v>0.6</x:v>
      </x:c>
      <x:c r="F31" s="37" t="n">
        <x:v>0.6</x:v>
      </x:c>
      <x:c r="G31" s="37" t="n">
        <x:v>0.6</x:v>
      </x:c>
      <x:c r="H31" s="37" t="n">
        <x:v>0.6</x:v>
      </x:c>
      <x:c r="I31" s="37" t="n">
        <x:v>0.6</x:v>
      </x:c>
      <x:c r="J31" s="1"/>
    </x:row>
    <x:row r="32" ht="25" customHeight="1">
      <x:c r="A32" s="1"/>
      <x:c r="B32" s="1"/>
      <x:c r="C32" s="1" t="str">
        <x:v>Downside</x:v>
      </x:c>
      <x:c r="D32" s="2"/>
      <x:c r="E32" s="37" t="n">
        <x:v>0.65</x:v>
      </x:c>
      <x:c r="F32" s="37" t="n">
        <x:v>0.65</x:v>
      </x:c>
      <x:c r="G32" s="37" t="n">
        <x:v>0.65</x:v>
      </x:c>
      <x:c r="H32" s="37" t="n">
        <x:v>0.65</x:v>
      </x:c>
      <x:c r="I32" s="37" t="n">
        <x:v>0.65</x:v>
      </x:c>
      <x:c r="J32" s="1"/>
    </x:row>
    <x:row r="33" ht="25" customHeight="1">
      <x:c r="A33" s="1"/>
      <x:c r="B33" s="1"/>
      <x:c r="C33" s="1" t="str">
        <x:v>Upside</x:v>
      </x:c>
      <x:c r="D33" s="2"/>
      <x:c r="E33" s="37" t="n">
        <x:v>0.58</x:v>
      </x:c>
      <x:c r="F33" s="37" t="n">
        <x:v>0.58</x:v>
      </x:c>
      <x:c r="G33" s="37" t="n">
        <x:v>0.58</x:v>
      </x:c>
      <x:c r="H33" s="37" t="n">
        <x:v>0.58</x:v>
      </x:c>
      <x:c r="I33" s="37" t="n">
        <x:v>0.58</x:v>
      </x:c>
      <x:c r="J33" s="1"/>
    </x:row>
    <x:row r="34" ht="25" customHeight="1">
      <x:c r="A34" s="1"/>
      <x:c r="B34" s="1"/>
      <x:c r="C34" s="40" t="str">
        <x:v>Fixed cash opex — active</x:v>
      </x:c>
      <x:c r="D34" s="41"/>
      <x:c r="E34" s="41" t="n">
        <x:f>IFERROR(IF($D$18="Valid",IF(CHOOSE($D$6,COUNT(E35),COUNT(E36),COUNT(E37))=1,CHOOSE($D$6,E35,E36,E37),"Missing driver"),"Invalid controls"),"Incomplete")</x:f>
        <x:v>170</x:v>
      </x:c>
      <x:c r="F34" s="41" t="n">
        <x:f>IFERROR(IF($D$18="Valid",IF(CHOOSE($D$6,COUNT(F35),COUNT(F36),COUNT(F37))=1,CHOOSE($D$6,F35,F36,F37),"Missing driver"),"Invalid controls"),"Incomplete")</x:f>
        <x:v>175</x:v>
      </x:c>
      <x:c r="G34" s="41" t="n">
        <x:f>IFERROR(IF($D$18="Valid",IF(CHOOSE($D$6,COUNT(G35),COUNT(G36),COUNT(G37))=1,CHOOSE($D$6,G35,G36,G37),"Missing driver"),"Invalid controls"),"Incomplete")</x:f>
        <x:v>180</x:v>
      </x:c>
      <x:c r="H34" s="41" t="n">
        <x:f>IFERROR(IF($D$18="Valid",IF(CHOOSE($D$6,COUNT(H35),COUNT(H36),COUNT(H37))=1,CHOOSE($D$6,H35,H36,H37),"Missing driver"),"Invalid controls"),"Incomplete")</x:f>
        <x:v>185</x:v>
      </x:c>
      <x:c r="I34" s="41" t="n">
        <x:f>IFERROR(IF($D$18="Valid",IF(CHOOSE($D$6,COUNT(I35),COUNT(I36),COUNT(I37))=1,CHOOSE($D$6,I35,I36,I37),"Missing driver"),"Invalid controls"),"Incomplete")</x:f>
        <x:v>190</x:v>
      </x:c>
      <x:c r="J34" s="1"/>
    </x:row>
    <x:row r="35" ht="25" customHeight="1">
      <x:c r="A35" s="1"/>
      <x:c r="B35" s="1"/>
      <x:c r="C35" s="1" t="str">
        <x:v>Base</x:v>
      </x:c>
      <x:c r="D35" s="2"/>
      <x:c r="E35" s="31" t="n">
        <x:v>170</x:v>
      </x:c>
      <x:c r="F35" s="31" t="n">
        <x:v>175</x:v>
      </x:c>
      <x:c r="G35" s="31" t="n">
        <x:v>180</x:v>
      </x:c>
      <x:c r="H35" s="31" t="n">
        <x:v>185</x:v>
      </x:c>
      <x:c r="I35" s="31" t="n">
        <x:v>190</x:v>
      </x:c>
      <x:c r="J35" s="1"/>
    </x:row>
    <x:row r="36" ht="25" customHeight="1">
      <x:c r="A36" s="1"/>
      <x:c r="B36" s="1"/>
      <x:c r="C36" s="1" t="str">
        <x:v>Downside</x:v>
      </x:c>
      <x:c r="D36" s="2"/>
      <x:c r="E36" s="31" t="n">
        <x:v>170</x:v>
      </x:c>
      <x:c r="F36" s="31" t="n">
        <x:v>175</x:v>
      </x:c>
      <x:c r="G36" s="31" t="n">
        <x:v>180</x:v>
      </x:c>
      <x:c r="H36" s="31" t="n">
        <x:v>185</x:v>
      </x:c>
      <x:c r="I36" s="31" t="n">
        <x:v>190</x:v>
      </x:c>
      <x:c r="J36" s="1"/>
    </x:row>
    <x:row r="37" ht="25" customHeight="1">
      <x:c r="A37" s="1"/>
      <x:c r="B37" s="1"/>
      <x:c r="C37" s="1" t="str">
        <x:v>Upside</x:v>
      </x:c>
      <x:c r="D37" s="2"/>
      <x:c r="E37" s="31" t="n">
        <x:v>170</x:v>
      </x:c>
      <x:c r="F37" s="31" t="n">
        <x:v>175</x:v>
      </x:c>
      <x:c r="G37" s="31" t="n">
        <x:v>180</x:v>
      </x:c>
      <x:c r="H37" s="31" t="n">
        <x:v>185</x:v>
      </x:c>
      <x:c r="I37" s="31" t="n">
        <x:v>190</x:v>
      </x:c>
      <x:c r="J37" s="1"/>
    </x:row>
    <x:row r="38" ht="25" customHeight="1">
      <x:c r="A38" s="1"/>
      <x:c r="B38" s="1"/>
      <x:c r="C38" s="40" t="str">
        <x:v>Variable opex / revenue — active</x:v>
      </x:c>
      <x:c r="D38" s="41"/>
      <x:c r="E38" s="42" t="n">
        <x:f>IFERROR(IF($D$18="Valid",IF(CHOOSE($D$6,COUNT(E39),COUNT(E40),COUNT(E41))=1,CHOOSE($D$6,E39,E40,E41),"Missing driver"),"Invalid controls"),"Incomplete")</x:f>
        <x:v>0.05</x:v>
      </x:c>
      <x:c r="F38" s="42" t="n">
        <x:f>IFERROR(IF($D$18="Valid",IF(CHOOSE($D$6,COUNT(F39),COUNT(F40),COUNT(F41))=1,CHOOSE($D$6,F39,F40,F41),"Missing driver"),"Invalid controls"),"Incomplete")</x:f>
        <x:v>0.05</x:v>
      </x:c>
      <x:c r="G38" s="42" t="n">
        <x:f>IFERROR(IF($D$18="Valid",IF(CHOOSE($D$6,COUNT(G39),COUNT(G40),COUNT(G41))=1,CHOOSE($D$6,G39,G40,G41),"Missing driver"),"Invalid controls"),"Incomplete")</x:f>
        <x:v>0.05</x:v>
      </x:c>
      <x:c r="H38" s="42" t="n">
        <x:f>IFERROR(IF($D$18="Valid",IF(CHOOSE($D$6,COUNT(H39),COUNT(H40),COUNT(H41))=1,CHOOSE($D$6,H39,H40,H41),"Missing driver"),"Invalid controls"),"Incomplete")</x:f>
        <x:v>0.05</x:v>
      </x:c>
      <x:c r="I38" s="42" t="n">
        <x:f>IFERROR(IF($D$18="Valid",IF(CHOOSE($D$6,COUNT(I39),COUNT(I40),COUNT(I41))=1,CHOOSE($D$6,I39,I40,I41),"Missing driver"),"Invalid controls"),"Incomplete")</x:f>
        <x:v>0.05</x:v>
      </x:c>
      <x:c r="J38" s="1"/>
    </x:row>
    <x:row r="39" ht="25" customHeight="1">
      <x:c r="A39" s="1"/>
      <x:c r="B39" s="1"/>
      <x:c r="C39" s="1" t="str">
        <x:v>Base</x:v>
      </x:c>
      <x:c r="D39" s="2"/>
      <x:c r="E39" s="37" t="n">
        <x:v>0.05</x:v>
      </x:c>
      <x:c r="F39" s="37" t="n">
        <x:v>0.05</x:v>
      </x:c>
      <x:c r="G39" s="37" t="n">
        <x:v>0.05</x:v>
      </x:c>
      <x:c r="H39" s="37" t="n">
        <x:v>0.05</x:v>
      </x:c>
      <x:c r="I39" s="37" t="n">
        <x:v>0.05</x:v>
      </x:c>
      <x:c r="J39" s="1"/>
    </x:row>
    <x:row r="40" ht="25" customHeight="1">
      <x:c r="A40" s="1"/>
      <x:c r="B40" s="1"/>
      <x:c r="C40" s="1" t="str">
        <x:v>Downside</x:v>
      </x:c>
      <x:c r="D40" s="2"/>
      <x:c r="E40" s="37" t="n">
        <x:v>0.05</x:v>
      </x:c>
      <x:c r="F40" s="37" t="n">
        <x:v>0.05</x:v>
      </x:c>
      <x:c r="G40" s="37" t="n">
        <x:v>0.05</x:v>
      </x:c>
      <x:c r="H40" s="37" t="n">
        <x:v>0.05</x:v>
      </x:c>
      <x:c r="I40" s="37" t="n">
        <x:v>0.05</x:v>
      </x:c>
      <x:c r="J40" s="1"/>
    </x:row>
    <x:row r="41" ht="25" customHeight="1">
      <x:c r="A41" s="1"/>
      <x:c r="B41" s="1"/>
      <x:c r="C41" s="1" t="str">
        <x:v>Upside</x:v>
      </x:c>
      <x:c r="D41" s="2"/>
      <x:c r="E41" s="37" t="n">
        <x:v>0.05</x:v>
      </x:c>
      <x:c r="F41" s="37" t="n">
        <x:v>0.05</x:v>
      </x:c>
      <x:c r="G41" s="37" t="n">
        <x:v>0.05</x:v>
      </x:c>
      <x:c r="H41" s="37" t="n">
        <x:v>0.05</x:v>
      </x:c>
      <x:c r="I41" s="37" t="n">
        <x:v>0.05</x:v>
      </x:c>
      <x:c r="J41" s="1"/>
    </x:row>
    <x:row r="42" ht="25" customHeight="1">
      <x:c r="A42" s="1"/>
      <x:c r="B42" s="1"/>
      <x:c r="C42" s="40" t="str">
        <x:v>Receivables / revenue — active</x:v>
      </x:c>
      <x:c r="D42" s="41"/>
      <x:c r="E42" s="42" t="n">
        <x:f>IFERROR(IF($D$18="Valid",IF(CHOOSE($D$6,COUNT(E43),COUNT(E44),COUNT(E45))=1,CHOOSE($D$6,E43,E44,E45),"Missing driver"),"Invalid controls"),"Incomplete")</x:f>
        <x:v>0.16</x:v>
      </x:c>
      <x:c r="F42" s="42" t="n">
        <x:f>IFERROR(IF($D$18="Valid",IF(CHOOSE($D$6,COUNT(F43),COUNT(F44),COUNT(F45))=1,CHOOSE($D$6,F43,F44,F45),"Missing driver"),"Invalid controls"),"Incomplete")</x:f>
        <x:v>0.16</x:v>
      </x:c>
      <x:c r="G42" s="42" t="n">
        <x:f>IFERROR(IF($D$18="Valid",IF(CHOOSE($D$6,COUNT(G43),COUNT(G44),COUNT(G45))=1,CHOOSE($D$6,G43,G44,G45),"Missing driver"),"Invalid controls"),"Incomplete")</x:f>
        <x:v>0.16</x:v>
      </x:c>
      <x:c r="H42" s="42" t="n">
        <x:f>IFERROR(IF($D$18="Valid",IF(CHOOSE($D$6,COUNT(H43),COUNT(H44),COUNT(H45))=1,CHOOSE($D$6,H43,H44,H45),"Missing driver"),"Invalid controls"),"Incomplete")</x:f>
        <x:v>0.16</x:v>
      </x:c>
      <x:c r="I42" s="42" t="n">
        <x:f>IFERROR(IF($D$18="Valid",IF(CHOOSE($D$6,COUNT(I43),COUNT(I44),COUNT(I45))=1,CHOOSE($D$6,I43,I44,I45),"Missing driver"),"Invalid controls"),"Incomplete")</x:f>
        <x:v>0.16</x:v>
      </x:c>
      <x:c r="J42" s="1"/>
    </x:row>
    <x:row r="43" ht="25" customHeight="1">
      <x:c r="A43" s="1"/>
      <x:c r="B43" s="1"/>
      <x:c r="C43" s="1" t="str">
        <x:v>Base</x:v>
      </x:c>
      <x:c r="D43" s="2"/>
      <x:c r="E43" s="37" t="n">
        <x:v>0.16</x:v>
      </x:c>
      <x:c r="F43" s="37" t="n">
        <x:v>0.16</x:v>
      </x:c>
      <x:c r="G43" s="37" t="n">
        <x:v>0.16</x:v>
      </x:c>
      <x:c r="H43" s="37" t="n">
        <x:v>0.16</x:v>
      </x:c>
      <x:c r="I43" s="37" t="n">
        <x:v>0.16</x:v>
      </x:c>
      <x:c r="J43" s="1"/>
    </x:row>
    <x:row r="44" ht="25" customHeight="1">
      <x:c r="A44" s="1"/>
      <x:c r="B44" s="1"/>
      <x:c r="C44" s="1" t="str">
        <x:v>Downside</x:v>
      </x:c>
      <x:c r="D44" s="2"/>
      <x:c r="E44" s="37" t="n">
        <x:v>0.28</x:v>
      </x:c>
      <x:c r="F44" s="37" t="n">
        <x:v>0.28</x:v>
      </x:c>
      <x:c r="G44" s="37" t="n">
        <x:v>0.28</x:v>
      </x:c>
      <x:c r="H44" s="37" t="n">
        <x:v>0.28</x:v>
      </x:c>
      <x:c r="I44" s="37" t="n">
        <x:v>0.28</x:v>
      </x:c>
      <x:c r="J44" s="1"/>
    </x:row>
    <x:row r="45" ht="25" customHeight="1">
      <x:c r="A45" s="1"/>
      <x:c r="B45" s="1"/>
      <x:c r="C45" s="1" t="str">
        <x:v>Upside</x:v>
      </x:c>
      <x:c r="D45" s="2"/>
      <x:c r="E45" s="37" t="n">
        <x:v>0.16</x:v>
      </x:c>
      <x:c r="F45" s="37" t="n">
        <x:v>0.16</x:v>
      </x:c>
      <x:c r="G45" s="37" t="n">
        <x:v>0.16</x:v>
      </x:c>
      <x:c r="H45" s="37" t="n">
        <x:v>0.16</x:v>
      </x:c>
      <x:c r="I45" s="37" t="n">
        <x:v>0.16</x:v>
      </x:c>
      <x:c r="J45" s="1"/>
    </x:row>
    <x:row r="46" ht="25" customHeight="1">
      <x:c r="A46" s="1"/>
      <x:c r="B46" s="1"/>
      <x:c r="C46" s="40" t="str">
        <x:v>Inventory / COGS — active</x:v>
      </x:c>
      <x:c r="D46" s="41"/>
      <x:c r="E46" s="42" t="n">
        <x:f>IFERROR(IF($D$18="Valid",IF(CHOOSE($D$6,COUNT(E47),COUNT(E48),COUNT(E49))=1,CHOOSE($D$6,E47,E48,E49),"Missing driver"),"Invalid controls"),"Incomplete")</x:f>
        <x:v>0.25</x:v>
      </x:c>
      <x:c r="F46" s="42" t="n">
        <x:f>IFERROR(IF($D$18="Valid",IF(CHOOSE($D$6,COUNT(F47),COUNT(F48),COUNT(F49))=1,CHOOSE($D$6,F47,F48,F49),"Missing driver"),"Invalid controls"),"Incomplete")</x:f>
        <x:v>0.25</x:v>
      </x:c>
      <x:c r="G46" s="42" t="n">
        <x:f>IFERROR(IF($D$18="Valid",IF(CHOOSE($D$6,COUNT(G47),COUNT(G48),COUNT(G49))=1,CHOOSE($D$6,G47,G48,G49),"Missing driver"),"Invalid controls"),"Incomplete")</x:f>
        <x:v>0.25</x:v>
      </x:c>
      <x:c r="H46" s="42" t="n">
        <x:f>IFERROR(IF($D$18="Valid",IF(CHOOSE($D$6,COUNT(H47),COUNT(H48),COUNT(H49))=1,CHOOSE($D$6,H47,H48,H49),"Missing driver"),"Invalid controls"),"Incomplete")</x:f>
        <x:v>0.25</x:v>
      </x:c>
      <x:c r="I46" s="42" t="n">
        <x:f>IFERROR(IF($D$18="Valid",IF(CHOOSE($D$6,COUNT(I47),COUNT(I48),COUNT(I49))=1,CHOOSE($D$6,I47,I48,I49),"Missing driver"),"Invalid controls"),"Incomplete")</x:f>
        <x:v>0.25</x:v>
      </x:c>
      <x:c r="J46" s="1"/>
    </x:row>
    <x:row r="47" ht="25" customHeight="1">
      <x:c r="A47" s="1"/>
      <x:c r="B47" s="1"/>
      <x:c r="C47" s="1" t="str">
        <x:v>Base</x:v>
      </x:c>
      <x:c r="D47" s="2"/>
      <x:c r="E47" s="37" t="n">
        <x:v>0.25</x:v>
      </x:c>
      <x:c r="F47" s="37" t="n">
        <x:v>0.25</x:v>
      </x:c>
      <x:c r="G47" s="37" t="n">
        <x:v>0.25</x:v>
      </x:c>
      <x:c r="H47" s="37" t="n">
        <x:v>0.25</x:v>
      </x:c>
      <x:c r="I47" s="37" t="n">
        <x:v>0.25</x:v>
      </x:c>
      <x:c r="J47" s="1"/>
    </x:row>
    <x:row r="48" ht="25" customHeight="1">
      <x:c r="A48" s="1"/>
      <x:c r="B48" s="1"/>
      <x:c r="C48" s="1" t="str">
        <x:v>Downside</x:v>
      </x:c>
      <x:c r="D48" s="2"/>
      <x:c r="E48" s="37" t="n">
        <x:v>0.38</x:v>
      </x:c>
      <x:c r="F48" s="37" t="n">
        <x:v>0.38</x:v>
      </x:c>
      <x:c r="G48" s="37" t="n">
        <x:v>0.38</x:v>
      </x:c>
      <x:c r="H48" s="37" t="n">
        <x:v>0.38</x:v>
      </x:c>
      <x:c r="I48" s="37" t="n">
        <x:v>0.38</x:v>
      </x:c>
      <x:c r="J48" s="1"/>
    </x:row>
    <x:row r="49" ht="25" customHeight="1">
      <x:c r="A49" s="1"/>
      <x:c r="B49" s="1"/>
      <x:c r="C49" s="1" t="str">
        <x:v>Upside</x:v>
      </x:c>
      <x:c r="D49" s="2"/>
      <x:c r="E49" s="37" t="n">
        <x:v>0.25</x:v>
      </x:c>
      <x:c r="F49" s="37" t="n">
        <x:v>0.25</x:v>
      </x:c>
      <x:c r="G49" s="37" t="n">
        <x:v>0.25</x:v>
      </x:c>
      <x:c r="H49" s="37" t="n">
        <x:v>0.25</x:v>
      </x:c>
      <x:c r="I49" s="37" t="n">
        <x:v>0.25</x:v>
      </x:c>
      <x:c r="J49" s="1"/>
    </x:row>
    <x:row r="50" ht="25" customHeight="1">
      <x:c r="A50" s="1"/>
      <x:c r="B50" s="1"/>
      <x:c r="C50" s="40" t="str">
        <x:v>Payables / COGS — active</x:v>
      </x:c>
      <x:c r="D50" s="41"/>
      <x:c r="E50" s="42" t="n">
        <x:f>IFERROR(IF($D$18="Valid",IF(CHOOSE($D$6,COUNT(E51),COUNT(E52),COUNT(E53))=1,CHOOSE($D$6,E51,E52,E53),"Missing driver"),"Invalid controls"),"Incomplete")</x:f>
        <x:v>0.15</x:v>
      </x:c>
      <x:c r="F50" s="42" t="n">
        <x:f>IFERROR(IF($D$18="Valid",IF(CHOOSE($D$6,COUNT(F51),COUNT(F52),COUNT(F53))=1,CHOOSE($D$6,F51,F52,F53),"Missing driver"),"Invalid controls"),"Incomplete")</x:f>
        <x:v>0.15</x:v>
      </x:c>
      <x:c r="G50" s="42" t="n">
        <x:f>IFERROR(IF($D$18="Valid",IF(CHOOSE($D$6,COUNT(G51),COUNT(G52),COUNT(G53))=1,CHOOSE($D$6,G51,G52,G53),"Missing driver"),"Invalid controls"),"Incomplete")</x:f>
        <x:v>0.15</x:v>
      </x:c>
      <x:c r="H50" s="42" t="n">
        <x:f>IFERROR(IF($D$18="Valid",IF(CHOOSE($D$6,COUNT(H51),COUNT(H52),COUNT(H53))=1,CHOOSE($D$6,H51,H52,H53),"Missing driver"),"Invalid controls"),"Incomplete")</x:f>
        <x:v>0.15</x:v>
      </x:c>
      <x:c r="I50" s="42" t="n">
        <x:f>IFERROR(IF($D$18="Valid",IF(CHOOSE($D$6,COUNT(I51),COUNT(I52),COUNT(I53))=1,CHOOSE($D$6,I51,I52,I53),"Missing driver"),"Invalid controls"),"Incomplete")</x:f>
        <x:v>0.15</x:v>
      </x:c>
      <x:c r="J50" s="1"/>
    </x:row>
    <x:row r="51" ht="25" customHeight="1">
      <x:c r="A51" s="1"/>
      <x:c r="B51" s="1"/>
      <x:c r="C51" s="1" t="str">
        <x:v>Base</x:v>
      </x:c>
      <x:c r="D51" s="2"/>
      <x:c r="E51" s="37" t="n">
        <x:v>0.15</x:v>
      </x:c>
      <x:c r="F51" s="37" t="n">
        <x:v>0.15</x:v>
      </x:c>
      <x:c r="G51" s="37" t="n">
        <x:v>0.15</x:v>
      </x:c>
      <x:c r="H51" s="37" t="n">
        <x:v>0.15</x:v>
      </x:c>
      <x:c r="I51" s="37" t="n">
        <x:v>0.15</x:v>
      </x:c>
      <x:c r="J51" s="1"/>
    </x:row>
    <x:row r="52" ht="25" customHeight="1">
      <x:c r="A52" s="1"/>
      <x:c r="B52" s="1"/>
      <x:c r="C52" s="1" t="str">
        <x:v>Downside</x:v>
      </x:c>
      <x:c r="D52" s="2"/>
      <x:c r="E52" s="37" t="n">
        <x:v>0.15</x:v>
      </x:c>
      <x:c r="F52" s="37" t="n">
        <x:v>0.15</x:v>
      </x:c>
      <x:c r="G52" s="37" t="n">
        <x:v>0.15</x:v>
      </x:c>
      <x:c r="H52" s="37" t="n">
        <x:v>0.15</x:v>
      </x:c>
      <x:c r="I52" s="37" t="n">
        <x:v>0.15</x:v>
      </x:c>
      <x:c r="J52" s="1"/>
    </x:row>
    <x:row r="53" ht="25" customHeight="1">
      <x:c r="A53" s="1"/>
      <x:c r="B53" s="1"/>
      <x:c r="C53" s="1" t="str">
        <x:v>Upside</x:v>
      </x:c>
      <x:c r="D53" s="2"/>
      <x:c r="E53" s="37" t="n">
        <x:v>0.15</x:v>
      </x:c>
      <x:c r="F53" s="37" t="n">
        <x:v>0.15</x:v>
      </x:c>
      <x:c r="G53" s="37" t="n">
        <x:v>0.15</x:v>
      </x:c>
      <x:c r="H53" s="37" t="n">
        <x:v>0.15</x:v>
      </x:c>
      <x:c r="I53" s="37" t="n">
        <x:v>0.15</x:v>
      </x:c>
      <x:c r="J53" s="1"/>
    </x:row>
    <x:row r="54" ht="25" customHeight="1">
      <x:c r="A54" s="1"/>
      <x:c r="B54" s="1"/>
      <x:c r="C54" s="40" t="str">
        <x:v>Prepaids / cash opex — active</x:v>
      </x:c>
      <x:c r="D54" s="41"/>
      <x:c r="E54" s="42" t="n">
        <x:f>IFERROR(IF($D$18="Valid",IF(CHOOSE($D$6,COUNT(E55),COUNT(E56),COUNT(E57))=1,CHOOSE($D$6,E55,E56,E57),"Missing driver"),"Invalid controls"),"Incomplete")</x:f>
        <x:v>0.1</x:v>
      </x:c>
      <x:c r="F54" s="42" t="n">
        <x:f>IFERROR(IF($D$18="Valid",IF(CHOOSE($D$6,COUNT(F55),COUNT(F56),COUNT(F57))=1,CHOOSE($D$6,F55,F56,F57),"Missing driver"),"Invalid controls"),"Incomplete")</x:f>
        <x:v>0.1</x:v>
      </x:c>
      <x:c r="G54" s="42" t="n">
        <x:f>IFERROR(IF($D$18="Valid",IF(CHOOSE($D$6,COUNT(G55),COUNT(G56),COUNT(G57))=1,CHOOSE($D$6,G55,G56,G57),"Missing driver"),"Invalid controls"),"Incomplete")</x:f>
        <x:v>0.1</x:v>
      </x:c>
      <x:c r="H54" s="42" t="n">
        <x:f>IFERROR(IF($D$18="Valid",IF(CHOOSE($D$6,COUNT(H55),COUNT(H56),COUNT(H57))=1,CHOOSE($D$6,H55,H56,H57),"Missing driver"),"Invalid controls"),"Incomplete")</x:f>
        <x:v>0.1</x:v>
      </x:c>
      <x:c r="I54" s="42" t="n">
        <x:f>IFERROR(IF($D$18="Valid",IF(CHOOSE($D$6,COUNT(I55),COUNT(I56),COUNT(I57))=1,CHOOSE($D$6,I55,I56,I57),"Missing driver"),"Invalid controls"),"Incomplete")</x:f>
        <x:v>0.1</x:v>
      </x:c>
      <x:c r="J54" s="1"/>
    </x:row>
    <x:row r="55" ht="25" customHeight="1">
      <x:c r="A55" s="1"/>
      <x:c r="B55" s="1"/>
      <x:c r="C55" s="1" t="str">
        <x:v>Base</x:v>
      </x:c>
      <x:c r="D55" s="2"/>
      <x:c r="E55" s="37" t="n">
        <x:v>0.1</x:v>
      </x:c>
      <x:c r="F55" s="37" t="n">
        <x:v>0.1</x:v>
      </x:c>
      <x:c r="G55" s="37" t="n">
        <x:v>0.1</x:v>
      </x:c>
      <x:c r="H55" s="37" t="n">
        <x:v>0.1</x:v>
      </x:c>
      <x:c r="I55" s="37" t="n">
        <x:v>0.1</x:v>
      </x:c>
      <x:c r="J55" s="1"/>
    </x:row>
    <x:row r="56" ht="25" customHeight="1">
      <x:c r="A56" s="1"/>
      <x:c r="B56" s="1"/>
      <x:c r="C56" s="1" t="str">
        <x:v>Downside</x:v>
      </x:c>
      <x:c r="D56" s="2"/>
      <x:c r="E56" s="37" t="n">
        <x:v>0.1</x:v>
      </x:c>
      <x:c r="F56" s="37" t="n">
        <x:v>0.1</x:v>
      </x:c>
      <x:c r="G56" s="37" t="n">
        <x:v>0.1</x:v>
      </x:c>
      <x:c r="H56" s="37" t="n">
        <x:v>0.1</x:v>
      </x:c>
      <x:c r="I56" s="37" t="n">
        <x:v>0.1</x:v>
      </x:c>
      <x:c r="J56" s="1"/>
    </x:row>
    <x:row r="57" ht="25" customHeight="1">
      <x:c r="A57" s="1"/>
      <x:c r="B57" s="1"/>
      <x:c r="C57" s="1" t="str">
        <x:v>Upside</x:v>
      </x:c>
      <x:c r="D57" s="2"/>
      <x:c r="E57" s="37" t="n">
        <x:v>0.1</x:v>
      </x:c>
      <x:c r="F57" s="37" t="n">
        <x:v>0.1</x:v>
      </x:c>
      <x:c r="G57" s="37" t="n">
        <x:v>0.1</x:v>
      </x:c>
      <x:c r="H57" s="37" t="n">
        <x:v>0.1</x:v>
      </x:c>
      <x:c r="I57" s="37" t="n">
        <x:v>0.1</x:v>
      </x:c>
      <x:c r="J57" s="1"/>
    </x:row>
    <x:row r="58" ht="25" customHeight="1">
      <x:c r="A58" s="1"/>
      <x:c r="B58" s="1"/>
      <x:c r="C58" s="40" t="str">
        <x:v>Accruals / cash opex — active</x:v>
      </x:c>
      <x:c r="D58" s="41"/>
      <x:c r="E58" s="42" t="n">
        <x:f>IFERROR(IF($D$18="Valid",IF(CHOOSE($D$6,COUNT(E59),COUNT(E60),COUNT(E61))=1,CHOOSE($D$6,E59,E60,E61),"Missing driver"),"Invalid controls"),"Incomplete")</x:f>
        <x:v>0.1</x:v>
      </x:c>
      <x:c r="F58" s="42" t="n">
        <x:f>IFERROR(IF($D$18="Valid",IF(CHOOSE($D$6,COUNT(F59),COUNT(F60),COUNT(F61))=1,CHOOSE($D$6,F59,F60,F61),"Missing driver"),"Invalid controls"),"Incomplete")</x:f>
        <x:v>0.1</x:v>
      </x:c>
      <x:c r="G58" s="42" t="n">
        <x:f>IFERROR(IF($D$18="Valid",IF(CHOOSE($D$6,COUNT(G59),COUNT(G60),COUNT(G61))=1,CHOOSE($D$6,G59,G60,G61),"Missing driver"),"Invalid controls"),"Incomplete")</x:f>
        <x:v>0.1</x:v>
      </x:c>
      <x:c r="H58" s="42" t="n">
        <x:f>IFERROR(IF($D$18="Valid",IF(CHOOSE($D$6,COUNT(H59),COUNT(H60),COUNT(H61))=1,CHOOSE($D$6,H59,H60,H61),"Missing driver"),"Invalid controls"),"Incomplete")</x:f>
        <x:v>0.1</x:v>
      </x:c>
      <x:c r="I58" s="42" t="n">
        <x:f>IFERROR(IF($D$18="Valid",IF(CHOOSE($D$6,COUNT(I59),COUNT(I60),COUNT(I61))=1,CHOOSE($D$6,I59,I60,I61),"Missing driver"),"Invalid controls"),"Incomplete")</x:f>
        <x:v>0.1</x:v>
      </x:c>
      <x:c r="J58" s="1"/>
    </x:row>
    <x:row r="59" ht="25" customHeight="1">
      <x:c r="A59" s="1"/>
      <x:c r="B59" s="1"/>
      <x:c r="C59" s="1" t="str">
        <x:v>Base</x:v>
      </x:c>
      <x:c r="D59" s="2"/>
      <x:c r="E59" s="37" t="n">
        <x:v>0.1</x:v>
      </x:c>
      <x:c r="F59" s="37" t="n">
        <x:v>0.1</x:v>
      </x:c>
      <x:c r="G59" s="37" t="n">
        <x:v>0.1</x:v>
      </x:c>
      <x:c r="H59" s="37" t="n">
        <x:v>0.1</x:v>
      </x:c>
      <x:c r="I59" s="37" t="n">
        <x:v>0.1</x:v>
      </x:c>
      <x:c r="J59" s="1"/>
    </x:row>
    <x:row r="60" ht="25" customHeight="1">
      <x:c r="A60" s="1"/>
      <x:c r="B60" s="1"/>
      <x:c r="C60" s="1" t="str">
        <x:v>Downside</x:v>
      </x:c>
      <x:c r="D60" s="2"/>
      <x:c r="E60" s="37" t="n">
        <x:v>0.1</x:v>
      </x:c>
      <x:c r="F60" s="37" t="n">
        <x:v>0.1</x:v>
      </x:c>
      <x:c r="G60" s="37" t="n">
        <x:v>0.1</x:v>
      </x:c>
      <x:c r="H60" s="37" t="n">
        <x:v>0.1</x:v>
      </x:c>
      <x:c r="I60" s="37" t="n">
        <x:v>0.1</x:v>
      </x:c>
      <x:c r="J60" s="1"/>
    </x:row>
    <x:row r="61" ht="25" customHeight="1">
      <x:c r="A61" s="1"/>
      <x:c r="B61" s="1"/>
      <x:c r="C61" s="1" t="str">
        <x:v>Upside</x:v>
      </x:c>
      <x:c r="D61" s="2"/>
      <x:c r="E61" s="37" t="n">
        <x:v>0.1</x:v>
      </x:c>
      <x:c r="F61" s="37" t="n">
        <x:v>0.1</x:v>
      </x:c>
      <x:c r="G61" s="37" t="n">
        <x:v>0.1</x:v>
      </x:c>
      <x:c r="H61" s="37" t="n">
        <x:v>0.1</x:v>
      </x:c>
      <x:c r="I61" s="37" t="n">
        <x:v>0.1</x:v>
      </x:c>
      <x:c r="J61" s="1"/>
    </x:row>
    <x:row r="62" ht="25" customHeight="1">
      <x:c r="A62" s="1"/>
      <x:c r="B62" s="1"/>
      <x:c r="C62" s="40" t="str">
        <x:v>Cash PP&amp;E additions — active</x:v>
      </x:c>
      <x:c r="D62" s="41"/>
      <x:c r="E62" s="41" t="n">
        <x:f>IFERROR(IF($D$18="Valid",IF(CHOOSE($D$6,COUNT(E63),COUNT(E64),COUNT(E65))=1,CHOOSE($D$6,E63,E64,E65),"Missing driver"),"Invalid controls"),"Incomplete")</x:f>
        <x:v>105</x:v>
      </x:c>
      <x:c r="F62" s="41" t="n">
        <x:f>IFERROR(IF($D$18="Valid",IF(CHOOSE($D$6,COUNT(F63),COUNT(F64),COUNT(F65))=1,CHOOSE($D$6,F63,F64,F65),"Missing driver"),"Invalid controls"),"Incomplete")</x:f>
        <x:v>75</x:v>
      </x:c>
      <x:c r="G62" s="41" t="n">
        <x:f>IFERROR(IF($D$18="Valid",IF(CHOOSE($D$6,COUNT(G63),COUNT(G64),COUNT(G65))=1,CHOOSE($D$6,G63,G64,G65),"Missing driver"),"Invalid controls"),"Incomplete")</x:f>
        <x:v>75</x:v>
      </x:c>
      <x:c r="H62" s="41" t="n">
        <x:f>IFERROR(IF($D$18="Valid",IF(CHOOSE($D$6,COUNT(H63),COUNT(H64),COUNT(H65))=1,CHOOSE($D$6,H63,H64,H65),"Missing driver"),"Invalid controls"),"Incomplete")</x:f>
        <x:v>75</x:v>
      </x:c>
      <x:c r="I62" s="41" t="n">
        <x:f>IFERROR(IF($D$18="Valid",IF(CHOOSE($D$6,COUNT(I63),COUNT(I64),COUNT(I65))=1,CHOOSE($D$6,I63,I64,I65),"Missing driver"),"Invalid controls"),"Incomplete")</x:f>
        <x:v>75</x:v>
      </x:c>
      <x:c r="J62" s="1"/>
    </x:row>
    <x:row r="63" ht="25" customHeight="1">
      <x:c r="A63" s="1"/>
      <x:c r="B63" s="1"/>
      <x:c r="C63" s="1" t="str">
        <x:v>Base</x:v>
      </x:c>
      <x:c r="D63" s="2"/>
      <x:c r="E63" s="31" t="n">
        <x:v>105</x:v>
      </x:c>
      <x:c r="F63" s="31" t="n">
        <x:v>75</x:v>
      </x:c>
      <x:c r="G63" s="31" t="n">
        <x:v>75</x:v>
      </x:c>
      <x:c r="H63" s="31" t="n">
        <x:v>75</x:v>
      </x:c>
      <x:c r="I63" s="31" t="n">
        <x:v>75</x:v>
      </x:c>
      <x:c r="J63" s="1"/>
    </x:row>
    <x:row r="64" ht="25" customHeight="1">
      <x:c r="A64" s="1"/>
      <x:c r="B64" s="1"/>
      <x:c r="C64" s="1" t="str">
        <x:v>Downside</x:v>
      </x:c>
      <x:c r="D64" s="2"/>
      <x:c r="E64" s="31" t="n">
        <x:v>105</x:v>
      </x:c>
      <x:c r="F64" s="31" t="n">
        <x:v>75</x:v>
      </x:c>
      <x:c r="G64" s="31" t="n">
        <x:v>75</x:v>
      </x:c>
      <x:c r="H64" s="31" t="n">
        <x:v>75</x:v>
      </x:c>
      <x:c r="I64" s="31" t="n">
        <x:v>75</x:v>
      </x:c>
      <x:c r="J64" s="1"/>
    </x:row>
    <x:row r="65" ht="25" customHeight="1">
      <x:c r="A65" s="1"/>
      <x:c r="B65" s="1"/>
      <x:c r="C65" s="1" t="str">
        <x:v>Upside</x:v>
      </x:c>
      <x:c r="D65" s="2"/>
      <x:c r="E65" s="31" t="n">
        <x:v>105</x:v>
      </x:c>
      <x:c r="F65" s="31" t="n">
        <x:v>75</x:v>
      </x:c>
      <x:c r="G65" s="31" t="n">
        <x:v>75</x:v>
      </x:c>
      <x:c r="H65" s="31" t="n">
        <x:v>75</x:v>
      </x:c>
      <x:c r="I65" s="31" t="n">
        <x:v>75</x:v>
      </x:c>
      <x:c r="J65" s="1"/>
    </x:row>
    <x:row r="66" ht="25" customHeight="1">
      <x:c r="A66" s="1"/>
      <x:c r="B66" s="1"/>
      <x:c r="C66" s="40" t="str">
        <x:v>Purchased software additions — active</x:v>
      </x:c>
      <x:c r="D66" s="41"/>
      <x:c r="E66" s="41" t="n">
        <x:f>IFERROR(IF($D$18="Valid",IF(CHOOSE($D$6,COUNT(E67),COUNT(E68),COUNT(E69))=1,CHOOSE($D$6,E67,E68,E69),"Missing driver"),"Invalid controls"),"Incomplete")</x:f>
        <x:v>9</x:v>
      </x:c>
      <x:c r="F66" s="41" t="n">
        <x:f>IFERROR(IF($D$18="Valid",IF(CHOOSE($D$6,COUNT(F67),COUNT(F68),COUNT(F69))=1,CHOOSE($D$6,F67,F68,F69),"Missing driver"),"Invalid controls"),"Incomplete")</x:f>
        <x:v>9</x:v>
      </x:c>
      <x:c r="G66" s="41" t="n">
        <x:f>IFERROR(IF($D$18="Valid",IF(CHOOSE($D$6,COUNT(G67),COUNT(G68),COUNT(G69))=1,CHOOSE($D$6,G67,G68,G69),"Missing driver"),"Invalid controls"),"Incomplete")</x:f>
        <x:v>9</x:v>
      </x:c>
      <x:c r="H66" s="41" t="n">
        <x:f>IFERROR(IF($D$18="Valid",IF(CHOOSE($D$6,COUNT(H67),COUNT(H68),COUNT(H69))=1,CHOOSE($D$6,H67,H68,H69),"Missing driver"),"Invalid controls"),"Incomplete")</x:f>
        <x:v>9</x:v>
      </x:c>
      <x:c r="I66" s="41" t="n">
        <x:f>IFERROR(IF($D$18="Valid",IF(CHOOSE($D$6,COUNT(I67),COUNT(I68),COUNT(I69))=1,CHOOSE($D$6,I67,I68,I69),"Missing driver"),"Invalid controls"),"Incomplete")</x:f>
        <x:v>9</x:v>
      </x:c>
      <x:c r="J66" s="1"/>
    </x:row>
    <x:row r="67" ht="25" customHeight="1">
      <x:c r="A67" s="1"/>
      <x:c r="B67" s="1"/>
      <x:c r="C67" s="1" t="str">
        <x:v>Base</x:v>
      </x:c>
      <x:c r="D67" s="2"/>
      <x:c r="E67" s="31" t="n">
        <x:v>9</x:v>
      </x:c>
      <x:c r="F67" s="31" t="n">
        <x:v>9</x:v>
      </x:c>
      <x:c r="G67" s="31" t="n">
        <x:v>9</x:v>
      </x:c>
      <x:c r="H67" s="31" t="n">
        <x:v>9</x:v>
      </x:c>
      <x:c r="I67" s="31" t="n">
        <x:v>9</x:v>
      </x:c>
      <x:c r="J67" s="1"/>
    </x:row>
    <x:row r="68" ht="25" customHeight="1">
      <x:c r="A68" s="1"/>
      <x:c r="B68" s="1"/>
      <x:c r="C68" s="1" t="str">
        <x:v>Downside</x:v>
      </x:c>
      <x:c r="D68" s="2"/>
      <x:c r="E68" s="31" t="n">
        <x:v>9</x:v>
      </x:c>
      <x:c r="F68" s="31" t="n">
        <x:v>9</x:v>
      </x:c>
      <x:c r="G68" s="31" t="n">
        <x:v>9</x:v>
      </x:c>
      <x:c r="H68" s="31" t="n">
        <x:v>9</x:v>
      </x:c>
      <x:c r="I68" s="31" t="n">
        <x:v>9</x:v>
      </x:c>
      <x:c r="J68" s="1"/>
    </x:row>
    <x:row r="69" ht="25" customHeight="1">
      <x:c r="A69" s="1"/>
      <x:c r="B69" s="1"/>
      <x:c r="C69" s="1" t="str">
        <x:v>Upside</x:v>
      </x:c>
      <x:c r="D69" s="2"/>
      <x:c r="E69" s="31" t="n">
        <x:v>9</x:v>
      </x:c>
      <x:c r="F69" s="31" t="n">
        <x:v>9</x:v>
      </x:c>
      <x:c r="G69" s="31" t="n">
        <x:v>9</x:v>
      </x:c>
      <x:c r="H69" s="31" t="n">
        <x:v>9</x:v>
      </x:c>
      <x:c r="I69" s="31" t="n">
        <x:v>9</x:v>
      </x:c>
      <x:c r="J69" s="1"/>
    </x:row>
    <x:row r="70" ht="25" customHeight="1">
      <x:c r="A70" s="1"/>
      <x:c r="B70" s="1"/>
      <x:c r="C70" s="40" t="str">
        <x:v>Proposed cash dividends — active</x:v>
      </x:c>
      <x:c r="D70" s="41"/>
      <x:c r="E70" s="41" t="n">
        <x:f>IFERROR(IF($D$18="Valid",IF(CHOOSE($D$6,COUNT(E71),COUNT(E72),COUNT(E73))=1,CHOOSE($D$6,E71,E72,E73),"Missing driver"),"Invalid controls"),"Incomplete")</x:f>
        <x:v>5</x:v>
      </x:c>
      <x:c r="F70" s="41" t="n">
        <x:f>IFERROR(IF($D$18="Valid",IF(CHOOSE($D$6,COUNT(F71),COUNT(F72),COUNT(F73))=1,CHOOSE($D$6,F71,F72,F73),"Missing driver"),"Invalid controls"),"Incomplete")</x:f>
        <x:v>5</x:v>
      </x:c>
      <x:c r="G70" s="41" t="n">
        <x:f>IFERROR(IF($D$18="Valid",IF(CHOOSE($D$6,COUNT(G71),COUNT(G72),COUNT(G73))=1,CHOOSE($D$6,G71,G72,G73),"Missing driver"),"Invalid controls"),"Incomplete")</x:f>
        <x:v>5</x:v>
      </x:c>
      <x:c r="H70" s="41" t="n">
        <x:f>IFERROR(IF($D$18="Valid",IF(CHOOSE($D$6,COUNT(H71),COUNT(H72),COUNT(H73))=1,CHOOSE($D$6,H71,H72,H73),"Missing driver"),"Invalid controls"),"Incomplete")</x:f>
        <x:v>5</x:v>
      </x:c>
      <x:c r="I70" s="41" t="n">
        <x:f>IFERROR(IF($D$18="Valid",IF(CHOOSE($D$6,COUNT(I71),COUNT(I72),COUNT(I73))=1,CHOOSE($D$6,I71,I72,I73),"Missing driver"),"Invalid controls"),"Incomplete")</x:f>
        <x:v>5</x:v>
      </x:c>
      <x:c r="J70" s="1"/>
    </x:row>
    <x:row r="71" ht="25" customHeight="1">
      <x:c r="A71" s="1"/>
      <x:c r="B71" s="1"/>
      <x:c r="C71" s="1" t="str">
        <x:v>Base</x:v>
      </x:c>
      <x:c r="D71" s="2"/>
      <x:c r="E71" s="31" t="n">
        <x:v>5</x:v>
      </x:c>
      <x:c r="F71" s="31" t="n">
        <x:v>5</x:v>
      </x:c>
      <x:c r="G71" s="31" t="n">
        <x:v>5</x:v>
      </x:c>
      <x:c r="H71" s="31" t="n">
        <x:v>5</x:v>
      </x:c>
      <x:c r="I71" s="31" t="n">
        <x:v>5</x:v>
      </x:c>
      <x:c r="J71" s="1"/>
    </x:row>
    <x:row r="72" ht="25" customHeight="1">
      <x:c r="A72" s="1"/>
      <x:c r="B72" s="1"/>
      <x:c r="C72" s="1" t="str">
        <x:v>Downside</x:v>
      </x:c>
      <x:c r="D72" s="2"/>
      <x:c r="E72" s="31" t="n">
        <x:v>5</x:v>
      </x:c>
      <x:c r="F72" s="31" t="n">
        <x:v>5</x:v>
      </x:c>
      <x:c r="G72" s="31" t="n">
        <x:v>5</x:v>
      </x:c>
      <x:c r="H72" s="31" t="n">
        <x:v>5</x:v>
      </x:c>
      <x:c r="I72" s="31" t="n">
        <x:v>5</x:v>
      </x:c>
      <x:c r="J72" s="1"/>
    </x:row>
    <x:row r="73" ht="25" customHeight="1">
      <x:c r="A73" s="1"/>
      <x:c r="B73" s="1"/>
      <x:c r="C73" s="1" t="str">
        <x:v>Upside</x:v>
      </x:c>
      <x:c r="D73" s="2"/>
      <x:c r="E73" s="31" t="n">
        <x:v>5</x:v>
      </x:c>
      <x:c r="F73" s="31" t="n">
        <x:v>5</x:v>
      </x:c>
      <x:c r="G73" s="31" t="n">
        <x:v>5</x:v>
      </x:c>
      <x:c r="H73" s="31" t="n">
        <x:v>5</x:v>
      </x:c>
      <x:c r="I73" s="31" t="n">
        <x:v>5</x:v>
      </x:c>
      <x:c r="J73" s="1"/>
    </x:row>
    <x:row r="74" ht="25" customHeight="1">
      <x:c r="A74" s="1"/>
      <x:c r="B74" s="1"/>
      <x:c r="C74" s="40" t="str">
        <x:v>Committed cash equity issuance — active</x:v>
      </x:c>
      <x:c r="D74" s="41"/>
      <x:c r="E74" s="41" t="n">
        <x:f>IFERROR(IF($D$18="Valid",IF(CHOOSE($D$6,COUNT(E75),COUNT(E76),COUNT(E77))=1,CHOOSE($D$6,E75,E76,E77),"Missing driver"),"Invalid controls"),"Incomplete")</x:f>
        <x:v>0</x:v>
      </x:c>
      <x:c r="F74" s="41" t="n">
        <x:f>IFERROR(IF($D$18="Valid",IF(CHOOSE($D$6,COUNT(F75),COUNT(F76),COUNT(F77))=1,CHOOSE($D$6,F75,F76,F77),"Missing driver"),"Invalid controls"),"Incomplete")</x:f>
        <x:v>0</x:v>
      </x:c>
      <x:c r="G74" s="41" t="n">
        <x:f>IFERROR(IF($D$18="Valid",IF(CHOOSE($D$6,COUNT(G75),COUNT(G76),COUNT(G77))=1,CHOOSE($D$6,G75,G76,G77),"Missing driver"),"Invalid controls"),"Incomplete")</x:f>
        <x:v>0</x:v>
      </x:c>
      <x:c r="H74" s="41" t="n">
        <x:f>IFERROR(IF($D$18="Valid",IF(CHOOSE($D$6,COUNT(H75),COUNT(H76),COUNT(H77))=1,CHOOSE($D$6,H75,H76,H77),"Missing driver"),"Invalid controls"),"Incomplete")</x:f>
        <x:v>0</x:v>
      </x:c>
      <x:c r="I74" s="41" t="n">
        <x:f>IFERROR(IF($D$18="Valid",IF(CHOOSE($D$6,COUNT(I75),COUNT(I76),COUNT(I77))=1,CHOOSE($D$6,I75,I76,I77),"Missing driver"),"Invalid controls"),"Incomplete")</x:f>
        <x:v>0</x:v>
      </x:c>
      <x:c r="J74" s="1"/>
    </x:row>
    <x:row r="75" ht="25" customHeight="1">
      <x:c r="A75" s="1"/>
      <x:c r="B75" s="1"/>
      <x:c r="C75" s="1" t="str">
        <x:v>Base</x:v>
      </x:c>
      <x:c r="D75" s="2"/>
      <x:c r="E75" s="31" t="n">
        <x:v>0</x:v>
      </x:c>
      <x:c r="F75" s="31" t="n">
        <x:v>0</x:v>
      </x:c>
      <x:c r="G75" s="31" t="n">
        <x:v>0</x:v>
      </x:c>
      <x:c r="H75" s="31" t="n">
        <x:v>0</x:v>
      </x:c>
      <x:c r="I75" s="31" t="n">
        <x:v>0</x:v>
      </x:c>
      <x:c r="J75" s="1"/>
    </x:row>
    <x:row r="76" ht="25" customHeight="1">
      <x:c r="A76" s="1"/>
      <x:c r="B76" s="1"/>
      <x:c r="C76" s="1" t="str">
        <x:v>Downside</x:v>
      </x:c>
      <x:c r="D76" s="2"/>
      <x:c r="E76" s="31" t="n">
        <x:v>0</x:v>
      </x:c>
      <x:c r="F76" s="31" t="n">
        <x:v>0</x:v>
      </x:c>
      <x:c r="G76" s="31" t="n">
        <x:v>0</x:v>
      </x:c>
      <x:c r="H76" s="31" t="n">
        <x:v>0</x:v>
      </x:c>
      <x:c r="I76" s="31" t="n">
        <x:v>0</x:v>
      </x:c>
      <x:c r="J76" s="1"/>
    </x:row>
    <x:row r="77" ht="25" customHeight="1">
      <x:c r="A77" s="1"/>
      <x:c r="B77" s="1"/>
      <x:c r="C77" s="1" t="str">
        <x:v>Upside</x:v>
      </x:c>
      <x:c r="D77" s="2"/>
      <x:c r="E77" s="31" t="n">
        <x:v>0</x:v>
      </x:c>
      <x:c r="F77" s="31" t="n">
        <x:v>0</x:v>
      </x:c>
      <x:c r="G77" s="31" t="n">
        <x:v>0</x:v>
      </x:c>
      <x:c r="H77" s="31" t="n">
        <x:v>0</x:v>
      </x:c>
      <x:c r="I77" s="31" t="n">
        <x:v>0</x:v>
      </x:c>
      <x:c r="J77" s="1"/>
    </x:row>
    <x:row r="78" ht="25" customHeight="1">
      <x:c r="A78" s="1"/>
      <x:c r="B78" s="1"/>
      <x:c r="C78" s="1"/>
      <x:c r="D78" s="2"/>
      <x:c r="E78" s="2"/>
      <x:c r="F78" s="2"/>
      <x:c r="G78" s="2"/>
      <x:c r="H78" s="2"/>
      <x:c r="I78" s="2"/>
      <x:c r="J78" s="1"/>
    </x:row>
    <x:row r="79" ht="25" customHeight="1">
      <x:c r="A79" s="1"/>
      <x:c r="B79" s="1"/>
      <x:c r="C79" s="1"/>
      <x:c r="D79" s="2"/>
      <x:c r="E79" s="2"/>
      <x:c r="F79" s="2"/>
      <x:c r="G79" s="2"/>
      <x:c r="H79" s="2"/>
      <x:c r="I79" s="2"/>
      <x:c r="J79" s="1"/>
    </x:row>
    <x:row r="80" ht="25" customHeight="1">
      <x:c r="A80" s="1"/>
      <x:c r="B80" s="1"/>
      <x:c r="C80" s="1"/>
      <x:c r="D80" s="2"/>
      <x:c r="E80" s="2"/>
      <x:c r="F80" s="2"/>
      <x:c r="G80" s="2"/>
      <x:c r="H80" s="2"/>
      <x:c r="I80" s="2"/>
      <x:c r="J80" s="1"/>
    </x:row>
    <x:row r="81" ht="25" customHeight="1">
      <x:c r="A81" s="1"/>
      <x:c r="B81" s="1"/>
      <x:c r="C81" s="1"/>
      <x:c r="D81" s="2"/>
      <x:c r="E81" s="2"/>
      <x:c r="F81" s="2"/>
      <x:c r="G81" s="2"/>
      <x:c r="H81" s="2"/>
      <x:c r="I81" s="2"/>
      <x:c r="J81" s="1"/>
    </x:row>
    <x:row r="82" ht="25" customHeight="1">
      <x:c r="A82" s="1"/>
      <x:c r="B82" s="1"/>
      <x:c r="C82" s="1"/>
      <x:c r="D82" s="2"/>
      <x:c r="E82" s="2"/>
      <x:c r="F82" s="2"/>
      <x:c r="G82" s="2"/>
      <x:c r="H82" s="2"/>
      <x:c r="I82" s="2"/>
      <x:c r="J82" s="1"/>
    </x:row>
    <x:row r="83" ht="25" customHeight="1">
      <x:c r="A83" s="1"/>
      <x:c r="B83" s="1"/>
      <x:c r="C83" s="1"/>
      <x:c r="D83" s="2"/>
      <x:c r="E83" s="2"/>
      <x:c r="F83" s="2"/>
      <x:c r="G83" s="2"/>
      <x:c r="H83" s="2"/>
      <x:c r="I83" s="2"/>
      <x:c r="J83" s="1"/>
    </x:row>
    <x:row r="84" ht="25" customHeight="1">
      <x:c r="A84" s="1"/>
      <x:c r="B84" s="1"/>
      <x:c r="C84" s="1"/>
      <x:c r="D84" s="2"/>
      <x:c r="E84" s="2"/>
      <x:c r="F84" s="2"/>
      <x:c r="G84" s="2"/>
      <x:c r="H84" s="2"/>
      <x:c r="I84" s="2"/>
      <x:c r="J84" s="1"/>
    </x:row>
    <x:row r="85" ht="25" customHeight="1">
      <x:c r="A85" s="1"/>
      <x:c r="B85" s="1"/>
      <x:c r="C85" s="1"/>
      <x:c r="D85" s="2"/>
      <x:c r="E85" s="2"/>
      <x:c r="F85" s="2"/>
      <x:c r="G85" s="2"/>
      <x:c r="H85" s="2"/>
      <x:c r="I85" s="2"/>
      <x:c r="J85" s="1"/>
    </x:row>
    <x:row r="86" ht="25" customHeight="1">
      <x:c r="A86" s="1"/>
      <x:c r="B86" s="1"/>
      <x:c r="C86" s="1"/>
      <x:c r="D86" s="2"/>
      <x:c r="E86" s="2"/>
      <x:c r="F86" s="2"/>
      <x:c r="G86" s="2"/>
      <x:c r="H86" s="2"/>
      <x:c r="I86" s="2"/>
      <x:c r="J86" s="1"/>
    </x:row>
    <x:row r="87" ht="25" customHeight="1">
      <x:c r="A87" s="1"/>
      <x:c r="B87" s="1"/>
      <x:c r="C87" s="1"/>
      <x:c r="D87" s="2"/>
      <x:c r="E87" s="2"/>
      <x:c r="F87" s="2"/>
      <x:c r="G87" s="2"/>
      <x:c r="H87" s="2"/>
      <x:c r="I87" s="2"/>
      <x:c r="J87" s="1"/>
    </x:row>
    <x:row r="88" ht="25" customHeight="1">
      <x:c r="A88" s="1"/>
      <x:c r="B88" s="1"/>
      <x:c r="C88" s="1"/>
      <x:c r="D88" s="2"/>
      <x:c r="E88" s="2"/>
      <x:c r="F88" s="2"/>
      <x:c r="G88" s="2"/>
      <x:c r="H88" s="2"/>
      <x:c r="I88" s="2"/>
      <x:c r="J88" s="1"/>
    </x:row>
    <x:row r="89" ht="25" customHeight="1">
      <x:c r="A89" s="1"/>
      <x:c r="B89" s="1"/>
      <x:c r="C89" s="1"/>
      <x:c r="D89" s="2"/>
      <x:c r="E89" s="2"/>
      <x:c r="F89" s="2"/>
      <x:c r="G89" s="2"/>
      <x:c r="H89" s="2"/>
      <x:c r="I89" s="2"/>
      <x:c r="J89" s="1"/>
    </x:row>
    <x:row r="90" ht="25" customHeight="1">
      <x:c r="A90" s="1"/>
      <x:c r="B90" s="1"/>
      <x:c r="C90" s="1"/>
      <x:c r="D90" s="2"/>
      <x:c r="E90" s="2"/>
      <x:c r="F90" s="2"/>
      <x:c r="G90" s="2"/>
      <x:c r="H90" s="2"/>
      <x:c r="I90" s="2"/>
      <x:c r="J90" s="1"/>
    </x:row>
    <x:row r="91" ht="25" customHeight="1">
      <x:c r="A91" s="1"/>
      <x:c r="B91" s="1"/>
      <x:c r="C91" s="1"/>
      <x:c r="D91" s="2"/>
      <x:c r="E91" s="2"/>
      <x:c r="F91" s="2"/>
      <x:c r="G91" s="2"/>
      <x:c r="H91" s="2"/>
      <x:c r="I91" s="2"/>
      <x:c r="J91" s="1"/>
    </x:row>
    <x:row r="92" ht="25" customHeight="1">
      <x:c r="A92" s="1"/>
      <x:c r="B92" s="1"/>
      <x:c r="C92" s="1"/>
      <x:c r="D92" s="2"/>
      <x:c r="E92" s="2"/>
      <x:c r="F92" s="2"/>
      <x:c r="G92" s="2"/>
      <x:c r="H92" s="2"/>
      <x:c r="I92" s="2"/>
      <x:c r="J92" s="1"/>
    </x:row>
    <x:row r="93" ht="25" customHeight="1">
      <x:c r="A93" s="1"/>
      <x:c r="B93" s="1"/>
      <x:c r="C93" s="1"/>
      <x:c r="D93" s="2"/>
      <x:c r="E93" s="2"/>
      <x:c r="F93" s="2"/>
      <x:c r="G93" s="2"/>
      <x:c r="H93" s="2"/>
      <x:c r="I93" s="2"/>
      <x:c r="J93" s="1"/>
    </x:row>
    <x:row r="94" ht="25" customHeight="1">
      <x:c r="A94" s="1"/>
      <x:c r="B94" s="1"/>
      <x:c r="C94" s="1"/>
      <x:c r="D94" s="2"/>
      <x:c r="E94" s="2"/>
      <x:c r="F94" s="2"/>
      <x:c r="G94" s="2"/>
      <x:c r="H94" s="2"/>
      <x:c r="I94" s="2"/>
      <x:c r="J94" s="1"/>
    </x:row>
    <x:row r="95" ht="25" customHeight="1">
      <x:c r="A95" s="1"/>
      <x:c r="B95" s="1"/>
      <x:c r="C95" s="1"/>
      <x:c r="D95" s="2"/>
      <x:c r="E95" s="2"/>
      <x:c r="F95" s="2"/>
      <x:c r="G95" s="2"/>
      <x:c r="H95" s="2"/>
      <x:c r="I95" s="2"/>
      <x:c r="J95" s="1"/>
    </x:row>
    <x:row r="96" ht="25" customHeight="1">
      <x:c r="A96" s="1"/>
      <x:c r="B96" s="1"/>
      <x:c r="C96" s="1"/>
      <x:c r="D96" s="2"/>
      <x:c r="E96" s="2"/>
      <x:c r="F96" s="2"/>
      <x:c r="G96" s="2"/>
      <x:c r="H96" s="2"/>
      <x:c r="I96" s="2"/>
      <x:c r="J96" s="1"/>
    </x:row>
    <x:row r="97" ht="25" customHeight="1">
      <x:c r="A97" s="1"/>
      <x:c r="B97" s="1"/>
      <x:c r="C97" s="1"/>
      <x:c r="D97" s="2"/>
      <x:c r="E97" s="2"/>
      <x:c r="F97" s="2"/>
      <x:c r="G97" s="2"/>
      <x:c r="H97" s="2"/>
      <x:c r="I97" s="2"/>
      <x:c r="J97" s="1"/>
    </x:row>
    <x:row r="98" ht="25" customHeight="1">
      <x:c r="A98" s="1"/>
      <x:c r="B98" s="1"/>
      <x:c r="C98" s="1"/>
      <x:c r="D98" s="2"/>
      <x:c r="E98" s="2"/>
      <x:c r="F98" s="2"/>
      <x:c r="G98" s="2"/>
      <x:c r="H98" s="2"/>
      <x:c r="I98" s="2"/>
      <x:c r="J98" s="1"/>
    </x:row>
    <x:row r="99" ht="25" customHeight="1">
      <x:c r="A99" s="1"/>
      <x:c r="B99" s="1"/>
      <x:c r="C99" s="1"/>
      <x:c r="D99" s="2"/>
      <x:c r="E99" s="2"/>
      <x:c r="F99" s="2"/>
      <x:c r="G99" s="2"/>
      <x:c r="H99" s="2"/>
      <x:c r="I99" s="2"/>
      <x:c r="J99" s="1"/>
    </x:row>
    <x:row r="100" ht="25" customHeight="1">
      <x:c r="A100" s="1"/>
      <x:c r="B100" s="1"/>
      <x:c r="C100" s="1"/>
      <x:c r="D100" s="2"/>
      <x:c r="E100" s="2"/>
      <x:c r="F100" s="2"/>
      <x:c r="G100" s="2"/>
      <x:c r="H100" s="2"/>
      <x:c r="I100" s="2"/>
      <x:c r="J100" s="1"/>
    </x:row>
  </x:sheetData>
  <x:mergeCells>
    <x:mergeCell ref="C2:I2"/>
    <x:mergeCell ref="C5:I5"/>
  </x:mergeCells>
  <x:dataValidations count="2">
    <x:dataValidation type="whole" operator="between" sqref="D6">
      <x:formula1>1</x:formula1>
      <x:formula2>3</x:formula2>
    </x:dataValidation>
    <x:dataValidation type="whole" operator="between" sqref="D7">
      <x:formula1>1</x:formula1>
      <x:formula2>5</x:formula2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16473E"/>
  </x:sheetPr>
  <x:sheetViews>
    <x:sheetView showGridLines="0" workbookViewId="0">
      <x:pane xSplit="4" ySplit="9" topLeftCell="E10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43" hidden="0" customWidth="1"/>
    <x:col min="4" max="4" width="19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44" customHeight="1">
      <x:c r="A2" s="1"/>
      <x:c r="B2" s="1"/>
      <x:c r="C2" s="6" t="str">
        <x:v>Operations</x:v>
      </x:c>
      <x:c r="D2" s="6"/>
      <x:c r="E2" s="6"/>
      <x:c r="F2" s="6"/>
      <x:c r="G2" s="6"/>
      <x:c r="H2" s="6"/>
      <x:c r="I2" s="6"/>
      <x:c r="J2" s="1"/>
    </x:row>
    <x:row r="3" ht="25" customHeight="1">
      <x:c r="A3" s="1"/>
      <x:c r="B3" s="1"/>
      <x:c r="C3" s="1" t="str">
        <x:v>Selected case</x:v>
      </x:c>
      <x:c r="D3" s="8" t="str">
        <x:f>IFERROR(IFERROR(CHOOSE('Assumptions'!$D$6,"Base","Downside","Upside"),"Invalid case"),"Incomplete")</x:f>
        <x:v>Base</x:v>
      </x:c>
      <x:c r="E3" s="1"/>
      <x:c r="F3" s="1"/>
      <x:c r="G3" s="1"/>
      <x:c r="H3" s="1"/>
      <x:c r="I3" s="1"/>
      <x:c r="J3" s="1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25" customHeight="1">
      <x:c r="A5" s="1"/>
      <x:c r="B5" s="1"/>
      <x:c r="C5" s="7" t="str">
        <x:v>USD thousands unless stated</x:v>
      </x:c>
      <x:c r="D5" s="7"/>
      <x:c r="E5" s="7"/>
      <x:c r="F5" s="7"/>
      <x:c r="G5" s="7"/>
      <x:c r="H5" s="7"/>
      <x:c r="I5" s="7"/>
      <x:c r="J5" s="1"/>
    </x:row>
    <x:row r="6" ht="25" customHeight="1">
      <x:c r="A6" s="1"/>
      <x:c r="B6" s="1"/>
      <x:c r="C6" s="1"/>
      <x:c r="D6" s="2"/>
      <x:c r="E6" s="2"/>
      <x:c r="F6" s="2"/>
      <x:c r="G6" s="2"/>
      <x:c r="H6" s="2"/>
      <x:c r="I6" s="2"/>
      <x:c r="J6" s="1"/>
    </x:row>
    <x:row r="7" ht="25" customHeight="1">
      <x:c r="A7" s="1"/>
      <x:c r="B7" s="1"/>
      <x:c r="C7" s="1"/>
      <x:c r="D7" s="2"/>
      <x:c r="E7" s="2"/>
      <x:c r="F7" s="2"/>
      <x:c r="G7" s="2"/>
      <x:c r="H7" s="2"/>
      <x:c r="I7" s="2"/>
      <x:c r="J7" s="1"/>
    </x:row>
    <x:row r="8" ht="25" customHeight="1">
      <x:c r="A8" s="1"/>
      <x:c r="B8" s="1"/>
      <x:c r="C8" s="9"/>
      <x:c r="D8" s="10"/>
      <x:c r="E8" s="12" t="n">
        <x:f>IFERROR('History'!$F$6+1,"Incomplete")</x:f>
        <x:v>2027</x:v>
      </x:c>
      <x:c r="F8" s="12" t="n">
        <x:f>IFERROR('History'!$F$6+2,"Incomplete")</x:f>
        <x:v>2028</x:v>
      </x:c>
      <x:c r="G8" s="12" t="n">
        <x:f>IFERROR('History'!$F$6+3,"Incomplete")</x:f>
        <x:v>2029</x:v>
      </x:c>
      <x:c r="H8" s="12" t="n">
        <x:f>IFERROR('History'!$F$6+4,"Incomplete")</x:f>
        <x:v>2030</x:v>
      </x:c>
      <x:c r="I8" s="12" t="n">
        <x:f>IFERROR('History'!$F$6+5,"Incomplete")</x:f>
        <x:v>2031</x:v>
      </x:c>
      <x:c r="J8" s="1"/>
    </x:row>
    <x:row r="9" ht="25" customHeight="1">
      <x:c r="A9" s="1"/>
      <x:c r="B9" s="1"/>
      <x:c r="C9" s="1"/>
      <x:c r="D9" s="2"/>
      <x:c r="E9" s="13" t="str">
        <x:f>IFERROR(IF(1&lt;='Assumptions'!$D$7,"In horizon","Beyond horizon"),"Incomplete")</x:f>
        <x:v>In horizon</x:v>
      </x:c>
      <x:c r="F9" s="13" t="str">
        <x:f>IFERROR(IF(2&lt;='Assumptions'!$D$7,"In horizon","Beyond horizon"),"Incomplete")</x:f>
        <x:v>In horizon</x:v>
      </x:c>
      <x:c r="G9" s="13" t="str">
        <x:f>IFERROR(IF(3&lt;='Assumptions'!$D$7,"In horizon","Beyond horizon"),"Incomplete")</x:f>
        <x:v>In horizon</x:v>
      </x:c>
      <x:c r="H9" s="13" t="str">
        <x:f>IFERROR(IF(4&lt;='Assumptions'!$D$7,"In horizon","Beyond horizon"),"Incomplete")</x:f>
        <x:v>Beyond horizon</x:v>
      </x:c>
      <x:c r="I9" s="13" t="str">
        <x:f>IFERROR(IF(5&lt;='Assumptions'!$D$7,"In horizon","Beyond horizon"),"Incomplete")</x:f>
        <x:v>Beyond horizon</x:v>
      </x:c>
      <x:c r="J9" s="1"/>
    </x:row>
    <x:row r="10" ht="25" customHeight="1">
      <x:c r="A10" s="1"/>
      <x:c r="B10" s="1"/>
      <x:c r="C10" s="1" t="str">
        <x:v>Volume, thousand units</x:v>
      </x:c>
      <x:c r="D10" s="2"/>
      <x:c r="E10" s="34" t="n">
        <x:f>IFERROR('History'!$F$10*(1+'Assumptions'!E22),"Incomplete")</x:f>
        <x:v>8.96</x:v>
      </x:c>
      <x:c r="F10" s="34" t="n">
        <x:f>IFERROR('Operations'!E10*(1+'Assumptions'!F22),"Incomplete")</x:f>
        <x:v>9.676800000000002</x:v>
      </x:c>
      <x:c r="G10" s="34" t="n">
        <x:f>IFERROR('Operations'!F10*(1+'Assumptions'!G22),"Incomplete")</x:f>
        <x:v>10.257408000000002</x:v>
      </x:c>
      <x:c r="H10" s="34" t="n">
        <x:f>IFERROR('Operations'!G10*(1+'Assumptions'!H22),"Incomplete")</x:f>
        <x:v>10.770278400000002</x:v>
      </x:c>
      <x:c r="I10" s="34" t="n">
        <x:f>IFERROR('Operations'!H10*(1+'Assumptions'!I22),"Incomplete")</x:f>
        <x:v>11.201089536000003</x:v>
      </x:c>
      <x:c r="J10" s="1"/>
    </x:row>
    <x:row r="11" ht="25" customHeight="1">
      <x:c r="A11" s="1"/>
      <x:c r="B11" s="1"/>
      <x:c r="C11" s="1" t="str">
        <x:v>Price, USD/unit</x:v>
      </x:c>
      <x:c r="D11" s="2"/>
      <x:c r="E11" s="4" t="n">
        <x:f>IFERROR('History'!$F$11*(1+'Assumptions'!E26),"Incomplete")</x:f>
        <x:v>127.5</x:v>
      </x:c>
      <x:c r="F11" s="4" t="n">
        <x:f>IFERROR('Operations'!E11*(1+'Assumptions'!F26),"Incomplete")</x:f>
        <x:v>130.05</x:v>
      </x:c>
      <x:c r="G11" s="4" t="n">
        <x:f>IFERROR('Operations'!F11*(1+'Assumptions'!G26),"Incomplete")</x:f>
        <x:v>132.651</x:v>
      </x:c>
      <x:c r="H11" s="4" t="n">
        <x:f>IFERROR('Operations'!G11*(1+'Assumptions'!H26),"Incomplete")</x:f>
        <x:v>135.30402</x:v>
      </x:c>
      <x:c r="I11" s="4" t="n">
        <x:f>IFERROR('Operations'!H11*(1+'Assumptions'!I26),"Incomplete")</x:f>
        <x:v>138.0101004</x:v>
      </x:c>
      <x:c r="J11" s="1"/>
    </x:row>
    <x:row r="12" ht="25" customHeight="1">
      <x:c r="A12" s="1"/>
      <x:c r="B12" s="1"/>
      <x:c r="C12" s="1" t="str">
        <x:v>Revenue</x:v>
      </x:c>
      <x:c r="D12" s="2"/>
      <x:c r="E12" s="2" t="n">
        <x:f>IFERROR(E10*E11,"Incomplete")</x:f>
        <x:v>1142.4</x:v>
      </x:c>
      <x:c r="F12" s="2" t="n">
        <x:f>IFERROR(F10*F11,"Incomplete")</x:f>
        <x:v>1258.4678400000003</x:v>
      </x:c>
      <x:c r="G12" s="2" t="n">
        <x:f>IFERROR(G10*G11,"Incomplete")</x:f>
        <x:v>1360.6554286080004</x:v>
      </x:c>
      <x:c r="H12" s="2" t="n">
        <x:f>IFERROR(H10*H11,"Incomplete")</x:f>
        <x:v>1457.2619640391683</x:v>
      </x:c>
      <x:c r="I12" s="2" t="n">
        <x:f>IFERROR(I10*I11,"Incomplete")</x:f>
        <x:v>1545.86349145275</x:v>
      </x:c>
      <x:c r="J12" s="1"/>
    </x:row>
    <x:row r="13" ht="25" customHeight="1">
      <x:c r="A13" s="1"/>
      <x:c r="B13" s="1"/>
      <x:c r="C13" s="1" t="str">
        <x:v>COGS</x:v>
      </x:c>
      <x:c r="D13" s="2"/>
      <x:c r="E13" s="4" t="n">
        <x:f>IFERROR(E12*'Assumptions'!E30,"Incomplete")</x:f>
        <x:v>685.44</x:v>
      </x:c>
      <x:c r="F13" s="4" t="n">
        <x:f>IFERROR(F12*'Assumptions'!F30,"Incomplete")</x:f>
        <x:v>755.0807040000001</x:v>
      </x:c>
      <x:c r="G13" s="4" t="n">
        <x:f>IFERROR(G12*'Assumptions'!G30,"Incomplete")</x:f>
        <x:v>816.3932571648003</x:v>
      </x:c>
      <x:c r="H13" s="4" t="n">
        <x:f>IFERROR(H12*'Assumptions'!H30,"Incomplete")</x:f>
        <x:v>874.357178423501</x:v>
      </x:c>
      <x:c r="I13" s="4" t="n">
        <x:f>IFERROR(I12*'Assumptions'!I30,"Incomplete")</x:f>
        <x:v>927.51809487165</x:v>
      </x:c>
      <x:c r="J13" s="1"/>
    </x:row>
    <x:row r="14" ht="25" customHeight="1">
      <x:c r="A14" s="1"/>
      <x:c r="B14" s="1"/>
      <x:c r="C14" s="1" t="str">
        <x:v>Fixed cash opex</x:v>
      </x:c>
      <x:c r="D14" s="2"/>
      <x:c r="E14" s="4" t="n">
        <x:f>IFERROR('Assumptions'!E34,"Incomplete")</x:f>
        <x:v>170</x:v>
      </x:c>
      <x:c r="F14" s="4" t="n">
        <x:f>IFERROR('Assumptions'!F34,"Incomplete")</x:f>
        <x:v>175</x:v>
      </x:c>
      <x:c r="G14" s="4" t="n">
        <x:f>IFERROR('Assumptions'!G34,"Incomplete")</x:f>
        <x:v>180</x:v>
      </x:c>
      <x:c r="H14" s="4" t="n">
        <x:f>IFERROR('Assumptions'!H34,"Incomplete")</x:f>
        <x:v>185</x:v>
      </x:c>
      <x:c r="I14" s="4" t="n">
        <x:f>IFERROR('Assumptions'!I34,"Incomplete")</x:f>
        <x:v>190</x:v>
      </x:c>
      <x:c r="J14" s="1"/>
    </x:row>
    <x:row r="15" ht="25" customHeight="1">
      <x:c r="A15" s="1"/>
      <x:c r="B15" s="1"/>
      <x:c r="C15" s="1" t="str">
        <x:v>Variable opex</x:v>
      </x:c>
      <x:c r="D15" s="2"/>
      <x:c r="E15" s="4" t="n">
        <x:f>IFERROR(E12*'Assumptions'!E38,"Incomplete")</x:f>
        <x:v>57.120000000000005</x:v>
      </x:c>
      <x:c r="F15" s="4" t="n">
        <x:f>IFERROR(F12*'Assumptions'!F38,"Incomplete")</x:f>
        <x:v>62.923392000000014</x:v>
      </x:c>
      <x:c r="G15" s="4" t="n">
        <x:f>IFERROR(G12*'Assumptions'!G38,"Incomplete")</x:f>
        <x:v>68.03277143040002</x:v>
      </x:c>
      <x:c r="H15" s="4" t="n">
        <x:f>IFERROR(H12*'Assumptions'!H38,"Incomplete")</x:f>
        <x:v>72.86309820195842</x:v>
      </x:c>
      <x:c r="I15" s="4" t="n">
        <x:f>IFERROR(I12*'Assumptions'!I38,"Incomplete")</x:f>
        <x:v>77.2931745726375</x:v>
      </x:c>
      <x:c r="J15" s="1"/>
    </x:row>
    <x:row r="16" ht="25" customHeight="1">
      <x:c r="A16" s="1"/>
      <x:c r="B16" s="1"/>
      <x:c r="C16" s="1" t="str">
        <x:v>Total cash opex</x:v>
      </x:c>
      <x:c r="D16" s="2"/>
      <x:c r="E16" s="2" t="n">
        <x:f>IFERROR(E14+E15,"Incomplete")</x:f>
        <x:v>227.12</x:v>
      </x:c>
      <x:c r="F16" s="2" t="n">
        <x:f>IFERROR(F14+F15,"Incomplete")</x:f>
        <x:v>237.923392</x:v>
      </x:c>
      <x:c r="G16" s="2" t="n">
        <x:f>IFERROR(G14+G15,"Incomplete")</x:f>
        <x:v>248.03277143040003</x:v>
      </x:c>
      <x:c r="H16" s="2" t="n">
        <x:f>IFERROR(H14+H15,"Incomplete")</x:f>
        <x:v>257.86309820195845</x:v>
      </x:c>
      <x:c r="I16" s="2" t="n">
        <x:f>IFERROR(I14+I15,"Incomplete")</x:f>
        <x:v>267.2931745726375</x:v>
      </x:c>
      <x:c r="J16" s="1"/>
    </x:row>
    <x:row r="17" ht="25" customHeight="1">
      <x:c r="A17" s="1"/>
      <x:c r="B17" s="1"/>
      <x:c r="C17" s="1" t="str">
        <x:v>EBITDA</x:v>
      </x:c>
      <x:c r="D17" s="2"/>
      <x:c r="E17" s="2" t="n">
        <x:f>IFERROR(E12-E13-E16,"Incomplete")</x:f>
        <x:v>229.84000000000003</x:v>
      </x:c>
      <x:c r="F17" s="2" t="n">
        <x:f>IFERROR(F12-F13-F16,"Incomplete")</x:f>
        <x:v>265.46374400000013</x:v>
      </x:c>
      <x:c r="G17" s="2" t="n">
        <x:f>IFERROR(G12-G13-G16,"Incomplete")</x:f>
        <x:v>296.2294000128001</x:v>
      </x:c>
      <x:c r="H17" s="2" t="n">
        <x:f>IFERROR(H12-H13-H16,"Incomplete")</x:f>
        <x:v>325.0416874137089</x:v>
      </x:c>
      <x:c r="I17" s="2" t="n">
        <x:f>IFERROR(I12-I13-I16,"Incomplete")</x:f>
        <x:v>351.0522220084625</x:v>
      </x:c>
      <x:c r="J17" s="1"/>
    </x:row>
    <x:row r="18" ht="25" customHeight="1">
      <x:c r="A18" s="1"/>
      <x:c r="B18" s="1"/>
      <x:c r="C18" s="1" t="str">
        <x:v>Depreciation</x:v>
      </x:c>
      <x:c r="D18" s="2"/>
      <x:c r="E18" s="4" t="n">
        <x:f>IFERROR('Assets'!E14,"Incomplete")</x:f>
        <x:v>80</x:v>
      </x:c>
      <x:c r="F18" s="4" t="n">
        <x:f>IFERROR('Assets'!F14,"Incomplete")</x:f>
        <x:v>106.25</x:v>
      </x:c>
      <x:c r="G18" s="4" t="n">
        <x:f>IFERROR('Assets'!G14,"Incomplete")</x:f>
        <x:v>125</x:v>
      </x:c>
      <x:c r="H18" s="4" t="n">
        <x:f>IFERROR('Assets'!H14,"Incomplete")</x:f>
        <x:v>143.75</x:v>
      </x:c>
      <x:c r="I18" s="4" t="n">
        <x:f>IFERROR('Assets'!I14,"Incomplete")</x:f>
        <x:v>82.5</x:v>
      </x:c>
      <x:c r="J18" s="1"/>
    </x:row>
    <x:row r="19" ht="25" customHeight="1">
      <x:c r="A19" s="1"/>
      <x:c r="B19" s="1"/>
      <x:c r="C19" s="1" t="str">
        <x:v>Amortization</x:v>
      </x:c>
      <x:c r="D19" s="2"/>
      <x:c r="E19" s="4" t="n">
        <x:f>IFERROR('Assets'!E22,"Incomplete")</x:f>
        <x:v>16</x:v>
      </x:c>
      <x:c r="F19" s="4" t="n">
        <x:f>IFERROR('Assets'!F22,"Incomplete")</x:f>
        <x:v>19</x:v>
      </x:c>
      <x:c r="G19" s="4" t="n">
        <x:f>IFERROR('Assets'!G22,"Incomplete")</x:f>
        <x:v>22</x:v>
      </x:c>
      <x:c r="H19" s="4" t="n">
        <x:f>IFERROR('Assets'!H22,"Incomplete")</x:f>
        <x:v>9</x:v>
      </x:c>
      <x:c r="I19" s="4" t="n">
        <x:f>IFERROR('Assets'!I22,"Incomplete")</x:f>
        <x:v>9</x:v>
      </x:c>
      <x:c r="J19" s="1"/>
    </x:row>
    <x:row r="20" ht="25" customHeight="1">
      <x:c r="A20" s="1"/>
      <x:c r="B20" s="1"/>
      <x:c r="C20" s="1" t="str">
        <x:v>EBIT</x:v>
      </x:c>
      <x:c r="D20" s="2"/>
      <x:c r="E20" s="2" t="n">
        <x:f>IFERROR(E17-E18-E19,"Incomplete")</x:f>
        <x:v>133.84000000000003</x:v>
      </x:c>
      <x:c r="F20" s="2" t="n">
        <x:f>IFERROR(F17-F18-F19,"Incomplete")</x:f>
        <x:v>140.21374400000013</x:v>
      </x:c>
      <x:c r="G20" s="2" t="n">
        <x:f>IFERROR(G17-G18-G19,"Incomplete")</x:f>
        <x:v>149.2294000128001</x:v>
      </x:c>
      <x:c r="H20" s="2" t="n">
        <x:f>IFERROR(H17-H18-H19,"Incomplete")</x:f>
        <x:v>172.29168741370893</x:v>
      </x:c>
      <x:c r="I20" s="2" t="n">
        <x:f>IFERROR(I17-I18-I19,"Incomplete")</x:f>
        <x:v>259.5522220084625</x:v>
      </x:c>
      <x:c r="J20" s="1"/>
    </x:row>
    <x:row r="21" ht="25" customHeight="1">
      <x:c r="A21" s="1"/>
      <x:c r="B21" s="1"/>
      <x:c r="C21" s="1" t="str">
        <x:v>Interest expense</x:v>
      </x:c>
      <x:c r="D21" s="2"/>
      <x:c r="E21" s="4" t="n">
        <x:f>IFERROR('Funding'!E13,"Incomplete")</x:f>
        <x:v>18</x:v>
      </x:c>
      <x:c r="F21" s="4" t="n">
        <x:f>IFERROR('Funding'!F13,"Incomplete")</x:f>
        <x:v>14.68872</x:v>
      </x:c>
      <x:c r="G21" s="4" t="n">
        <x:f>IFERROR('Funding'!G13,"Incomplete")</x:f>
        <x:v>8.448472925999997</x:v>
      </x:c>
      <x:c r="H21" s="4" t="n">
        <x:f>IFERROR('Funding'!H13,"Incomplete")</x:f>
        <x:v>0</x:v>
      </x:c>
      <x:c r="I21" s="4" t="n">
        <x:f>IFERROR('Funding'!I13,"Incomplete")</x:f>
        <x:v>0</x:v>
      </x:c>
      <x:c r="J21" s="1"/>
    </x:row>
    <x:row r="22" ht="25" customHeight="1">
      <x:c r="A22" s="1"/>
      <x:c r="B22" s="1"/>
      <x:c r="C22" s="1" t="str">
        <x:v>Pretax income</x:v>
      </x:c>
      <x:c r="D22" s="2"/>
      <x:c r="E22" s="2" t="n">
        <x:f>IFERROR(E20-E21,"Incomplete")</x:f>
        <x:v>115.84000000000003</x:v>
      </x:c>
      <x:c r="F22" s="2" t="n">
        <x:f>IFERROR(F20-F21,"Incomplete")</x:f>
        <x:v>125.52502400000013</x:v>
      </x:c>
      <x:c r="G22" s="2" t="n">
        <x:f>IFERROR(G20-G21,"Incomplete")</x:f>
        <x:v>140.78092708680012</x:v>
      </x:c>
      <x:c r="H22" s="2" t="n">
        <x:f>IFERROR(H20-H21,"Incomplete")</x:f>
        <x:v>172.29168741370893</x:v>
      </x:c>
      <x:c r="I22" s="2" t="n">
        <x:f>IFERROR(I20-I21,"Incomplete")</x:f>
        <x:v>259.5522220084625</x:v>
      </x:c>
      <x:c r="J22" s="1"/>
    </x:row>
    <x:row r="23" ht="25" customHeight="1">
      <x:c r="A23" s="1"/>
      <x:c r="B23" s="1"/>
      <x:c r="C23" s="1" t="str">
        <x:v>Current tax expense</x:v>
      </x:c>
      <x:c r="D23" s="2"/>
      <x:c r="E23" s="4" t="n">
        <x:f>IFERROR(MAX(0,E22)*'Assumptions'!$D$13,"Incomplete")</x:f>
        <x:v>28.960000000000008</x:v>
      </x:c>
      <x:c r="F23" s="4" t="n">
        <x:f>IFERROR(MAX(0,F22)*'Assumptions'!$D$13,"Incomplete")</x:f>
        <x:v>31.381256000000032</x:v>
      </x:c>
      <x:c r="G23" s="4" t="n">
        <x:f>IFERROR(MAX(0,G22)*'Assumptions'!$D$13,"Incomplete")</x:f>
        <x:v>35.19523177170003</x:v>
      </x:c>
      <x:c r="H23" s="4" t="n">
        <x:f>IFERROR(MAX(0,H22)*'Assumptions'!$D$13,"Incomplete")</x:f>
        <x:v>43.07292185342723</x:v>
      </x:c>
      <x:c r="I23" s="4" t="n">
        <x:f>IFERROR(MAX(0,I22)*'Assumptions'!$D$13,"Incomplete")</x:f>
        <x:v>64.88805550211562</x:v>
      </x:c>
      <x:c r="J23" s="1"/>
    </x:row>
    <x:row r="24" ht="25" customHeight="1">
      <x:c r="A24" s="1"/>
      <x:c r="B24" s="1"/>
      <x:c r="C24" s="1" t="str">
        <x:v>Net income</x:v>
      </x:c>
      <x:c r="D24" s="2"/>
      <x:c r="E24" s="2" t="n">
        <x:f>IFERROR(E22-E23,"Incomplete")</x:f>
        <x:v>86.88000000000002</x:v>
      </x:c>
      <x:c r="F24" s="2" t="n">
        <x:f>IFERROR(F22-F23,"Incomplete")</x:f>
        <x:v>94.1437680000001</x:v>
      </x:c>
      <x:c r="G24" s="2" t="n">
        <x:f>IFERROR(G22-G23,"Incomplete")</x:f>
        <x:v>105.58569531510008</x:v>
      </x:c>
      <x:c r="H24" s="2" t="n">
        <x:f>IFERROR(H22-H23,"Incomplete")</x:f>
        <x:v>129.2187655602817</x:v>
      </x:c>
      <x:c r="I24" s="2" t="n">
        <x:f>IFERROR(I22-I23,"Incomplete")</x:f>
        <x:v>194.66416650634687</x:v>
      </x:c>
      <x:c r="J24" s="1"/>
    </x:row>
    <x:row r="25" ht="25" customHeight="1">
      <x:c r="A25" s="1"/>
      <x:c r="B25" s="1"/>
      <x:c r="C25" s="1"/>
      <x:c r="D25" s="2"/>
      <x:c r="E25" s="2"/>
      <x:c r="F25" s="2"/>
      <x:c r="G25" s="2"/>
      <x:c r="H25" s="2"/>
      <x:c r="I25" s="2"/>
      <x:c r="J25" s="1"/>
    </x:row>
    <x:row r="26" ht="25" customHeight="1">
      <x:c r="A26" s="1"/>
      <x:c r="B26" s="1"/>
      <x:c r="C26" s="1"/>
      <x:c r="D26" s="2"/>
      <x:c r="E26" s="2"/>
      <x:c r="F26" s="2"/>
      <x:c r="G26" s="2"/>
      <x:c r="H26" s="2"/>
      <x:c r="I26" s="2"/>
      <x:c r="J26" s="1"/>
    </x:row>
    <x:row r="27" ht="25" customHeight="1">
      <x:c r="A27" s="1"/>
      <x:c r="B27" s="1"/>
      <x:c r="C27" s="1"/>
      <x:c r="D27" s="2"/>
      <x:c r="E27" s="2"/>
      <x:c r="F27" s="2"/>
      <x:c r="G27" s="2"/>
      <x:c r="H27" s="2"/>
      <x:c r="I27" s="2"/>
      <x:c r="J27" s="1"/>
    </x:row>
    <x:row r="28" ht="25" customHeight="1">
      <x:c r="A28" s="1"/>
      <x:c r="B28" s="1"/>
      <x:c r="C28" s="1"/>
      <x:c r="D28" s="2"/>
      <x:c r="E28" s="2"/>
      <x:c r="F28" s="2"/>
      <x:c r="G28" s="2"/>
      <x:c r="H28" s="2"/>
      <x:c r="I28" s="2"/>
      <x:c r="J28" s="1"/>
    </x:row>
    <x:row r="29" ht="25" customHeight="1">
      <x:c r="A29" s="1"/>
      <x:c r="B29" s="1"/>
      <x:c r="C29" s="1"/>
      <x:c r="D29" s="2"/>
      <x:c r="E29" s="2"/>
      <x:c r="F29" s="2"/>
      <x:c r="G29" s="2"/>
      <x:c r="H29" s="2"/>
      <x:c r="I29" s="2"/>
      <x:c r="J29" s="1"/>
    </x:row>
    <x:row r="30" ht="25" customHeight="1">
      <x:c r="A30" s="1"/>
      <x:c r="B30" s="1"/>
      <x:c r="C30" s="1"/>
      <x:c r="D30" s="2"/>
      <x:c r="E30" s="2"/>
      <x:c r="F30" s="2"/>
      <x:c r="G30" s="2"/>
      <x:c r="H30" s="2"/>
      <x:c r="I30" s="2"/>
      <x:c r="J30" s="1"/>
    </x:row>
    <x:row r="31" ht="25" customHeight="1">
      <x:c r="A31" s="1"/>
      <x:c r="B31" s="1"/>
      <x:c r="C31" s="1"/>
      <x:c r="D31" s="2"/>
      <x:c r="E31" s="2"/>
      <x:c r="F31" s="2"/>
      <x:c r="G31" s="2"/>
      <x:c r="H31" s="2"/>
      <x:c r="I31" s="2"/>
      <x:c r="J31" s="1"/>
    </x:row>
    <x:row r="32" ht="25" customHeight="1">
      <x:c r="A32" s="1"/>
      <x:c r="B32" s="1"/>
      <x:c r="C32" s="1"/>
      <x:c r="D32" s="2"/>
      <x:c r="E32" s="2"/>
      <x:c r="F32" s="2"/>
      <x:c r="G32" s="2"/>
      <x:c r="H32" s="2"/>
      <x:c r="I32" s="2"/>
      <x:c r="J32" s="1"/>
    </x:row>
    <x:row r="33" ht="25" customHeight="1">
      <x:c r="A33" s="1"/>
      <x:c r="B33" s="1"/>
      <x:c r="C33" s="1"/>
      <x:c r="D33" s="2"/>
      <x:c r="E33" s="2"/>
      <x:c r="F33" s="2"/>
      <x:c r="G33" s="2"/>
      <x:c r="H33" s="2"/>
      <x:c r="I33" s="2"/>
      <x:c r="J33" s="1"/>
    </x:row>
    <x:row r="34" ht="25" customHeight="1">
      <x:c r="A34" s="1"/>
      <x:c r="B34" s="1"/>
      <x:c r="C34" s="1"/>
      <x:c r="D34" s="2"/>
      <x:c r="E34" s="2"/>
      <x:c r="F34" s="2"/>
      <x:c r="G34" s="2"/>
      <x:c r="H34" s="2"/>
      <x:c r="I34" s="2"/>
      <x:c r="J34" s="1"/>
    </x:row>
    <x:row r="35" ht="25" customHeight="1">
      <x:c r="A35" s="1"/>
      <x:c r="B35" s="1"/>
      <x:c r="C35" s="1"/>
      <x:c r="D35" s="2"/>
      <x:c r="E35" s="2"/>
      <x:c r="F35" s="2"/>
      <x:c r="G35" s="2"/>
      <x:c r="H35" s="2"/>
      <x:c r="I35" s="2"/>
      <x:c r="J35" s="1"/>
    </x:row>
    <x:row r="36" ht="25" customHeight="1">
      <x:c r="A36" s="1"/>
      <x:c r="B36" s="1"/>
      <x:c r="C36" s="1"/>
      <x:c r="D36" s="2"/>
      <x:c r="E36" s="2"/>
      <x:c r="F36" s="2"/>
      <x:c r="G36" s="2"/>
      <x:c r="H36" s="2"/>
      <x:c r="I36" s="2"/>
      <x:c r="J36" s="1"/>
    </x:row>
    <x:row r="37" ht="25" customHeight="1">
      <x:c r="A37" s="1"/>
      <x:c r="B37" s="1"/>
      <x:c r="C37" s="1"/>
      <x:c r="D37" s="2"/>
      <x:c r="E37" s="2"/>
      <x:c r="F37" s="2"/>
      <x:c r="G37" s="2"/>
      <x:c r="H37" s="2"/>
      <x:c r="I37" s="2"/>
      <x:c r="J37" s="1"/>
    </x:row>
    <x:row r="38" ht="25" customHeight="1">
      <x:c r="A38" s="1"/>
      <x:c r="B38" s="1"/>
      <x:c r="C38" s="1"/>
      <x:c r="D38" s="2"/>
      <x:c r="E38" s="2"/>
      <x:c r="F38" s="2"/>
      <x:c r="G38" s="2"/>
      <x:c r="H38" s="2"/>
      <x:c r="I38" s="2"/>
      <x:c r="J38" s="1"/>
    </x:row>
    <x:row r="39" ht="25" customHeight="1">
      <x:c r="A39" s="1"/>
      <x:c r="B39" s="1"/>
      <x:c r="C39" s="1"/>
      <x:c r="D39" s="2"/>
      <x:c r="E39" s="2"/>
      <x:c r="F39" s="2"/>
      <x:c r="G39" s="2"/>
      <x:c r="H39" s="2"/>
      <x:c r="I39" s="2"/>
      <x:c r="J39" s="1"/>
    </x:row>
    <x:row r="40" ht="25" customHeight="1">
      <x:c r="A40" s="1"/>
      <x:c r="B40" s="1"/>
      <x:c r="C40" s="1"/>
      <x:c r="D40" s="2"/>
      <x:c r="E40" s="2"/>
      <x:c r="F40" s="2"/>
      <x:c r="G40" s="2"/>
      <x:c r="H40" s="2"/>
      <x:c r="I40" s="2"/>
      <x:c r="J40" s="1"/>
    </x:row>
    <x:row r="41" ht="25" customHeight="1">
      <x:c r="A41" s="1"/>
      <x:c r="B41" s="1"/>
      <x:c r="C41" s="1"/>
      <x:c r="D41" s="2"/>
      <x:c r="E41" s="2"/>
      <x:c r="F41" s="2"/>
      <x:c r="G41" s="2"/>
      <x:c r="H41" s="2"/>
      <x:c r="I41" s="2"/>
      <x:c r="J41" s="1"/>
    </x:row>
    <x:row r="42" ht="25" customHeight="1">
      <x:c r="A42" s="1"/>
      <x:c r="B42" s="1"/>
      <x:c r="C42" s="1"/>
      <x:c r="D42" s="2"/>
      <x:c r="E42" s="2"/>
      <x:c r="F42" s="2"/>
      <x:c r="G42" s="2"/>
      <x:c r="H42" s="2"/>
      <x:c r="I42" s="2"/>
      <x:c r="J42" s="1"/>
    </x:row>
    <x:row r="43" ht="25" customHeight="1">
      <x:c r="A43" s="1"/>
      <x:c r="B43" s="1"/>
      <x:c r="C43" s="1"/>
      <x:c r="D43" s="2"/>
      <x:c r="E43" s="2"/>
      <x:c r="F43" s="2"/>
      <x:c r="G43" s="2"/>
      <x:c r="H43" s="2"/>
      <x:c r="I43" s="2"/>
      <x:c r="J43" s="1"/>
    </x:row>
    <x:row r="44" ht="25" customHeight="1">
      <x:c r="A44" s="1"/>
      <x:c r="B44" s="1"/>
      <x:c r="C44" s="1"/>
      <x:c r="D44" s="2"/>
      <x:c r="E44" s="2"/>
      <x:c r="F44" s="2"/>
      <x:c r="G44" s="2"/>
      <x:c r="H44" s="2"/>
      <x:c r="I44" s="2"/>
      <x:c r="J44" s="1"/>
    </x:row>
    <x:row r="45" ht="25" customHeight="1">
      <x:c r="A45" s="1"/>
      <x:c r="B45" s="1"/>
      <x:c r="C45" s="1"/>
      <x:c r="D45" s="2"/>
      <x:c r="E45" s="2"/>
      <x:c r="F45" s="2"/>
      <x:c r="G45" s="2"/>
      <x:c r="H45" s="2"/>
      <x:c r="I45" s="2"/>
      <x:c r="J45" s="1"/>
    </x:row>
    <x:row r="46" ht="25" customHeight="1">
      <x:c r="A46" s="1"/>
      <x:c r="B46" s="1"/>
      <x:c r="C46" s="1"/>
      <x:c r="D46" s="2"/>
      <x:c r="E46" s="2"/>
      <x:c r="F46" s="2"/>
      <x:c r="G46" s="2"/>
      <x:c r="H46" s="2"/>
      <x:c r="I46" s="2"/>
      <x:c r="J46" s="1"/>
    </x:row>
    <x:row r="47" ht="25" customHeight="1">
      <x:c r="A47" s="1"/>
      <x:c r="B47" s="1"/>
      <x:c r="C47" s="1"/>
      <x:c r="D47" s="2"/>
      <x:c r="E47" s="2"/>
      <x:c r="F47" s="2"/>
      <x:c r="G47" s="2"/>
      <x:c r="H47" s="2"/>
      <x:c r="I47" s="2"/>
      <x:c r="J47" s="1"/>
    </x:row>
    <x:row r="48" ht="25" customHeight="1">
      <x:c r="A48" s="1"/>
      <x:c r="B48" s="1"/>
      <x:c r="C48" s="1"/>
      <x:c r="D48" s="2"/>
      <x:c r="E48" s="2"/>
      <x:c r="F48" s="2"/>
      <x:c r="G48" s="2"/>
      <x:c r="H48" s="2"/>
      <x:c r="I48" s="2"/>
      <x:c r="J48" s="1"/>
    </x:row>
    <x:row r="49" ht="25" customHeight="1">
      <x:c r="A49" s="1"/>
      <x:c r="B49" s="1"/>
      <x:c r="C49" s="1"/>
      <x:c r="D49" s="2"/>
      <x:c r="E49" s="2"/>
      <x:c r="F49" s="2"/>
      <x:c r="G49" s="2"/>
      <x:c r="H49" s="2"/>
      <x:c r="I49" s="2"/>
      <x:c r="J49" s="1"/>
    </x:row>
    <x:row r="50" ht="25" customHeight="1">
      <x:c r="A50" s="1"/>
      <x:c r="B50" s="1"/>
      <x:c r="C50" s="1"/>
      <x:c r="D50" s="2"/>
      <x:c r="E50" s="2"/>
      <x:c r="F50" s="2"/>
      <x:c r="G50" s="2"/>
      <x:c r="H50" s="2"/>
      <x:c r="I50" s="2"/>
      <x:c r="J50" s="1"/>
    </x:row>
    <x:row r="51" ht="25" customHeight="1">
      <x:c r="A51" s="1"/>
      <x:c r="B51" s="1"/>
      <x:c r="C51" s="1"/>
      <x:c r="D51" s="2"/>
      <x:c r="E51" s="2"/>
      <x:c r="F51" s="2"/>
      <x:c r="G51" s="2"/>
      <x:c r="H51" s="2"/>
      <x:c r="I51" s="2"/>
      <x:c r="J51" s="1"/>
    </x:row>
    <x:row r="52" ht="25" customHeight="1">
      <x:c r="A52" s="1"/>
      <x:c r="B52" s="1"/>
      <x:c r="C52" s="1"/>
      <x:c r="D52" s="2"/>
      <x:c r="E52" s="2"/>
      <x:c r="F52" s="2"/>
      <x:c r="G52" s="2"/>
      <x:c r="H52" s="2"/>
      <x:c r="I52" s="2"/>
      <x:c r="J52" s="1"/>
    </x:row>
    <x:row r="53" ht="25" customHeight="1">
      <x:c r="A53" s="1"/>
      <x:c r="B53" s="1"/>
      <x:c r="C53" s="1"/>
      <x:c r="D53" s="2"/>
      <x:c r="E53" s="2"/>
      <x:c r="F53" s="2"/>
      <x:c r="G53" s="2"/>
      <x:c r="H53" s="2"/>
      <x:c r="I53" s="2"/>
      <x:c r="J53" s="1"/>
    </x:row>
    <x:row r="54" ht="25" customHeight="1">
      <x:c r="A54" s="1"/>
      <x:c r="B54" s="1"/>
      <x:c r="C54" s="1"/>
      <x:c r="D54" s="2"/>
      <x:c r="E54" s="2"/>
      <x:c r="F54" s="2"/>
      <x:c r="G54" s="2"/>
      <x:c r="H54" s="2"/>
      <x:c r="I54" s="2"/>
      <x:c r="J54" s="1"/>
    </x:row>
    <x:row r="55" ht="25" customHeight="1">
      <x:c r="A55" s="1"/>
      <x:c r="B55" s="1"/>
      <x:c r="C55" s="1"/>
      <x:c r="D55" s="2"/>
      <x:c r="E55" s="2"/>
      <x:c r="F55" s="2"/>
      <x:c r="G55" s="2"/>
      <x:c r="H55" s="2"/>
      <x:c r="I55" s="2"/>
      <x:c r="J55" s="1"/>
    </x:row>
    <x:row r="56" ht="25" customHeight="1">
      <x:c r="A56" s="1"/>
      <x:c r="B56" s="1"/>
      <x:c r="C56" s="1"/>
      <x:c r="D56" s="2"/>
      <x:c r="E56" s="2"/>
      <x:c r="F56" s="2"/>
      <x:c r="G56" s="2"/>
      <x:c r="H56" s="2"/>
      <x:c r="I56" s="2"/>
      <x:c r="J56" s="1"/>
    </x:row>
    <x:row r="57" ht="25" customHeight="1">
      <x:c r="A57" s="1"/>
      <x:c r="B57" s="1"/>
      <x:c r="C57" s="1"/>
      <x:c r="D57" s="2"/>
      <x:c r="E57" s="2"/>
      <x:c r="F57" s="2"/>
      <x:c r="G57" s="2"/>
      <x:c r="H57" s="2"/>
      <x:c r="I57" s="2"/>
      <x:c r="J57" s="1"/>
    </x:row>
    <x:row r="58" ht="25" customHeight="1">
      <x:c r="A58" s="1"/>
      <x:c r="B58" s="1"/>
      <x:c r="C58" s="1"/>
      <x:c r="D58" s="2"/>
      <x:c r="E58" s="2"/>
      <x:c r="F58" s="2"/>
      <x:c r="G58" s="2"/>
      <x:c r="H58" s="2"/>
      <x:c r="I58" s="2"/>
      <x:c r="J58" s="1"/>
    </x:row>
    <x:row r="59" ht="25" customHeight="1">
      <x:c r="A59" s="1"/>
      <x:c r="B59" s="1"/>
      <x:c r="C59" s="1"/>
      <x:c r="D59" s="2"/>
      <x:c r="E59" s="2"/>
      <x:c r="F59" s="2"/>
      <x:c r="G59" s="2"/>
      <x:c r="H59" s="2"/>
      <x:c r="I59" s="2"/>
      <x:c r="J59" s="1"/>
    </x:row>
    <x:row r="60" ht="25" customHeight="1">
      <x:c r="A60" s="1"/>
      <x:c r="B60" s="1"/>
      <x:c r="C60" s="1"/>
      <x:c r="D60" s="2"/>
      <x:c r="E60" s="2"/>
      <x:c r="F60" s="2"/>
      <x:c r="G60" s="2"/>
      <x:c r="H60" s="2"/>
      <x:c r="I60" s="2"/>
      <x:c r="J60" s="1"/>
    </x:row>
    <x:row r="61" ht="25" customHeight="1">
      <x:c r="A61" s="1"/>
      <x:c r="B61" s="1"/>
      <x:c r="C61" s="1"/>
      <x:c r="D61" s="2"/>
      <x:c r="E61" s="2"/>
      <x:c r="F61" s="2"/>
      <x:c r="G61" s="2"/>
      <x:c r="H61" s="2"/>
      <x:c r="I61" s="2"/>
      <x:c r="J61" s="1"/>
    </x:row>
    <x:row r="62" ht="25" customHeight="1">
      <x:c r="A62" s="1"/>
      <x:c r="B62" s="1"/>
      <x:c r="C62" s="1"/>
      <x:c r="D62" s="2"/>
      <x:c r="E62" s="2"/>
      <x:c r="F62" s="2"/>
      <x:c r="G62" s="2"/>
      <x:c r="H62" s="2"/>
      <x:c r="I62" s="2"/>
      <x:c r="J62" s="1"/>
    </x:row>
    <x:row r="63" ht="25" customHeight="1">
      <x:c r="A63" s="1"/>
      <x:c r="B63" s="1"/>
      <x:c r="C63" s="1"/>
      <x:c r="D63" s="2"/>
      <x:c r="E63" s="2"/>
      <x:c r="F63" s="2"/>
      <x:c r="G63" s="2"/>
      <x:c r="H63" s="2"/>
      <x:c r="I63" s="2"/>
      <x:c r="J63" s="1"/>
    </x:row>
    <x:row r="64" ht="25" customHeight="1">
      <x:c r="A64" s="1"/>
      <x:c r="B64" s="1"/>
      <x:c r="C64" s="1"/>
      <x:c r="D64" s="2"/>
      <x:c r="E64" s="2"/>
      <x:c r="F64" s="2"/>
      <x:c r="G64" s="2"/>
      <x:c r="H64" s="2"/>
      <x:c r="I64" s="2"/>
      <x:c r="J64" s="1"/>
    </x:row>
    <x:row r="65" ht="25" customHeight="1">
      <x:c r="A65" s="1"/>
      <x:c r="B65" s="1"/>
      <x:c r="C65" s="1"/>
      <x:c r="D65" s="2"/>
      <x:c r="E65" s="2"/>
      <x:c r="F65" s="2"/>
      <x:c r="G65" s="2"/>
      <x:c r="H65" s="2"/>
      <x:c r="I65" s="2"/>
      <x:c r="J65" s="1"/>
    </x:row>
    <x:row r="66" ht="25" customHeight="1">
      <x:c r="A66" s="1"/>
      <x:c r="B66" s="1"/>
      <x:c r="C66" s="1"/>
      <x:c r="D66" s="2"/>
      <x:c r="E66" s="2"/>
      <x:c r="F66" s="2"/>
      <x:c r="G66" s="2"/>
      <x:c r="H66" s="2"/>
      <x:c r="I66" s="2"/>
      <x:c r="J66" s="1"/>
    </x:row>
    <x:row r="67" ht="25" customHeight="1">
      <x:c r="A67" s="1"/>
      <x:c r="B67" s="1"/>
      <x:c r="C67" s="1"/>
      <x:c r="D67" s="2"/>
      <x:c r="E67" s="2"/>
      <x:c r="F67" s="2"/>
      <x:c r="G67" s="2"/>
      <x:c r="H67" s="2"/>
      <x:c r="I67" s="2"/>
      <x:c r="J67" s="1"/>
    </x:row>
    <x:row r="68" ht="25" customHeight="1">
      <x:c r="A68" s="1"/>
      <x:c r="B68" s="1"/>
      <x:c r="C68" s="1"/>
      <x:c r="D68" s="2"/>
      <x:c r="E68" s="2"/>
      <x:c r="F68" s="2"/>
      <x:c r="G68" s="2"/>
      <x:c r="H68" s="2"/>
      <x:c r="I68" s="2"/>
      <x:c r="J68" s="1"/>
    </x:row>
    <x:row r="69" ht="25" customHeight="1">
      <x:c r="A69" s="1"/>
      <x:c r="B69" s="1"/>
      <x:c r="C69" s="1"/>
      <x:c r="D69" s="2"/>
      <x:c r="E69" s="2"/>
      <x:c r="F69" s="2"/>
      <x:c r="G69" s="2"/>
      <x:c r="H69" s="2"/>
      <x:c r="I69" s="2"/>
      <x:c r="J69" s="1"/>
    </x:row>
    <x:row r="70" ht="25" customHeight="1">
      <x:c r="A70" s="1"/>
      <x:c r="B70" s="1"/>
      <x:c r="C70" s="1"/>
      <x:c r="D70" s="2"/>
      <x:c r="E70" s="2"/>
      <x:c r="F70" s="2"/>
      <x:c r="G70" s="2"/>
      <x:c r="H70" s="2"/>
      <x:c r="I70" s="2"/>
      <x:c r="J70" s="1"/>
    </x:row>
    <x:row r="71" ht="25" customHeight="1">
      <x:c r="A71" s="1"/>
      <x:c r="B71" s="1"/>
      <x:c r="C71" s="1"/>
      <x:c r="D71" s="2"/>
      <x:c r="E71" s="2"/>
      <x:c r="F71" s="2"/>
      <x:c r="G71" s="2"/>
      <x:c r="H71" s="2"/>
      <x:c r="I71" s="2"/>
      <x:c r="J71" s="1"/>
    </x:row>
    <x:row r="72" ht="25" customHeight="1">
      <x:c r="A72" s="1"/>
      <x:c r="B72" s="1"/>
      <x:c r="C72" s="1"/>
      <x:c r="D72" s="2"/>
      <x:c r="E72" s="2"/>
      <x:c r="F72" s="2"/>
      <x:c r="G72" s="2"/>
      <x:c r="H72" s="2"/>
      <x:c r="I72" s="2"/>
      <x:c r="J72" s="1"/>
    </x:row>
    <x:row r="73" ht="25" customHeight="1">
      <x:c r="A73" s="1"/>
      <x:c r="B73" s="1"/>
      <x:c r="C73" s="1"/>
      <x:c r="D73" s="2"/>
      <x:c r="E73" s="2"/>
      <x:c r="F73" s="2"/>
      <x:c r="G73" s="2"/>
      <x:c r="H73" s="2"/>
      <x:c r="I73" s="2"/>
      <x:c r="J73" s="1"/>
    </x:row>
    <x:row r="74" ht="25" customHeight="1">
      <x:c r="A74" s="1"/>
      <x:c r="B74" s="1"/>
      <x:c r="C74" s="1"/>
      <x:c r="D74" s="2"/>
      <x:c r="E74" s="2"/>
      <x:c r="F74" s="2"/>
      <x:c r="G74" s="2"/>
      <x:c r="H74" s="2"/>
      <x:c r="I74" s="2"/>
      <x:c r="J74" s="1"/>
    </x:row>
    <x:row r="75" ht="25" customHeight="1">
      <x:c r="A75" s="1"/>
      <x:c r="B75" s="1"/>
      <x:c r="C75" s="1"/>
      <x:c r="D75" s="2"/>
      <x:c r="E75" s="2"/>
      <x:c r="F75" s="2"/>
      <x:c r="G75" s="2"/>
      <x:c r="H75" s="2"/>
      <x:c r="I75" s="2"/>
      <x:c r="J75" s="1"/>
    </x:row>
    <x:row r="76" ht="25" customHeight="1">
      <x:c r="A76" s="1"/>
      <x:c r="B76" s="1"/>
      <x:c r="C76" s="1"/>
      <x:c r="D76" s="2"/>
      <x:c r="E76" s="2"/>
      <x:c r="F76" s="2"/>
      <x:c r="G76" s="2"/>
      <x:c r="H76" s="2"/>
      <x:c r="I76" s="2"/>
      <x:c r="J76" s="1"/>
    </x:row>
    <x:row r="77" ht="25" customHeight="1">
      <x:c r="A77" s="1"/>
      <x:c r="B77" s="1"/>
      <x:c r="C77" s="1"/>
      <x:c r="D77" s="2"/>
      <x:c r="E77" s="2"/>
      <x:c r="F77" s="2"/>
      <x:c r="G77" s="2"/>
      <x:c r="H77" s="2"/>
      <x:c r="I77" s="2"/>
      <x:c r="J77" s="1"/>
    </x:row>
    <x:row r="78" ht="25" customHeight="1">
      <x:c r="A78" s="1"/>
      <x:c r="B78" s="1"/>
      <x:c r="C78" s="1"/>
      <x:c r="D78" s="2"/>
      <x:c r="E78" s="2"/>
      <x:c r="F78" s="2"/>
      <x:c r="G78" s="2"/>
      <x:c r="H78" s="2"/>
      <x:c r="I78" s="2"/>
      <x:c r="J78" s="1"/>
    </x:row>
    <x:row r="79" ht="25" customHeight="1">
      <x:c r="A79" s="1"/>
      <x:c r="B79" s="1"/>
      <x:c r="C79" s="1"/>
      <x:c r="D79" s="2"/>
      <x:c r="E79" s="2"/>
      <x:c r="F79" s="2"/>
      <x:c r="G79" s="2"/>
      <x:c r="H79" s="2"/>
      <x:c r="I79" s="2"/>
      <x:c r="J79" s="1"/>
    </x:row>
    <x:row r="80" ht="25" customHeight="1">
      <x:c r="A80" s="1"/>
      <x:c r="B80" s="1"/>
      <x:c r="C80" s="1"/>
      <x:c r="D80" s="2"/>
      <x:c r="E80" s="2"/>
      <x:c r="F80" s="2"/>
      <x:c r="G80" s="2"/>
      <x:c r="H80" s="2"/>
      <x:c r="I80" s="2"/>
      <x:c r="J80" s="1"/>
    </x:row>
    <x:row r="81" ht="25" customHeight="1">
      <x:c r="A81" s="1"/>
      <x:c r="B81" s="1"/>
      <x:c r="C81" s="1"/>
      <x:c r="D81" s="2"/>
      <x:c r="E81" s="2"/>
      <x:c r="F81" s="2"/>
      <x:c r="G81" s="2"/>
      <x:c r="H81" s="2"/>
      <x:c r="I81" s="2"/>
      <x:c r="J81" s="1"/>
    </x:row>
    <x:row r="82" ht="25" customHeight="1">
      <x:c r="A82" s="1"/>
      <x:c r="B82" s="1"/>
      <x:c r="C82" s="1"/>
      <x:c r="D82" s="2"/>
      <x:c r="E82" s="2"/>
      <x:c r="F82" s="2"/>
      <x:c r="G82" s="2"/>
      <x:c r="H82" s="2"/>
      <x:c r="I82" s="2"/>
      <x:c r="J82" s="1"/>
    </x:row>
    <x:row r="83" ht="25" customHeight="1">
      <x:c r="A83" s="1"/>
      <x:c r="B83" s="1"/>
      <x:c r="C83" s="1"/>
      <x:c r="D83" s="2"/>
      <x:c r="E83" s="2"/>
      <x:c r="F83" s="2"/>
      <x:c r="G83" s="2"/>
      <x:c r="H83" s="2"/>
      <x:c r="I83" s="2"/>
      <x:c r="J83" s="1"/>
    </x:row>
    <x:row r="84" ht="25" customHeight="1">
      <x:c r="A84" s="1"/>
      <x:c r="B84" s="1"/>
      <x:c r="C84" s="1"/>
      <x:c r="D84" s="2"/>
      <x:c r="E84" s="2"/>
      <x:c r="F84" s="2"/>
      <x:c r="G84" s="2"/>
      <x:c r="H84" s="2"/>
      <x:c r="I84" s="2"/>
      <x:c r="J84" s="1"/>
    </x:row>
    <x:row r="85" ht="25" customHeight="1">
      <x:c r="A85" s="1"/>
      <x:c r="B85" s="1"/>
      <x:c r="C85" s="1"/>
      <x:c r="D85" s="2"/>
      <x:c r="E85" s="2"/>
      <x:c r="F85" s="2"/>
      <x:c r="G85" s="2"/>
      <x:c r="H85" s="2"/>
      <x:c r="I85" s="2"/>
      <x:c r="J85" s="1"/>
    </x:row>
    <x:row r="86" ht="25" customHeight="1">
      <x:c r="A86" s="1"/>
      <x:c r="B86" s="1"/>
      <x:c r="C86" s="1"/>
      <x:c r="D86" s="2"/>
      <x:c r="E86" s="2"/>
      <x:c r="F86" s="2"/>
      <x:c r="G86" s="2"/>
      <x:c r="H86" s="2"/>
      <x:c r="I86" s="2"/>
      <x:c r="J86" s="1"/>
    </x:row>
    <x:row r="87" ht="25" customHeight="1">
      <x:c r="A87" s="1"/>
      <x:c r="B87" s="1"/>
      <x:c r="C87" s="1"/>
      <x:c r="D87" s="2"/>
      <x:c r="E87" s="2"/>
      <x:c r="F87" s="2"/>
      <x:c r="G87" s="2"/>
      <x:c r="H87" s="2"/>
      <x:c r="I87" s="2"/>
      <x:c r="J87" s="1"/>
    </x:row>
    <x:row r="88" ht="25" customHeight="1">
      <x:c r="A88" s="1"/>
      <x:c r="B88" s="1"/>
      <x:c r="C88" s="1"/>
      <x:c r="D88" s="2"/>
      <x:c r="E88" s="2"/>
      <x:c r="F88" s="2"/>
      <x:c r="G88" s="2"/>
      <x:c r="H88" s="2"/>
      <x:c r="I88" s="2"/>
      <x:c r="J88" s="1"/>
    </x:row>
    <x:row r="89" ht="25" customHeight="1">
      <x:c r="A89" s="1"/>
      <x:c r="B89" s="1"/>
      <x:c r="C89" s="1"/>
      <x:c r="D89" s="2"/>
      <x:c r="E89" s="2"/>
      <x:c r="F89" s="2"/>
      <x:c r="G89" s="2"/>
      <x:c r="H89" s="2"/>
      <x:c r="I89" s="2"/>
      <x:c r="J89" s="1"/>
    </x:row>
    <x:row r="90" ht="25" customHeight="1">
      <x:c r="A90" s="1"/>
      <x:c r="B90" s="1"/>
      <x:c r="C90" s="1"/>
      <x:c r="D90" s="2"/>
      <x:c r="E90" s="2"/>
      <x:c r="F90" s="2"/>
      <x:c r="G90" s="2"/>
      <x:c r="H90" s="2"/>
      <x:c r="I90" s="2"/>
      <x:c r="J90" s="1"/>
    </x:row>
    <x:row r="91" ht="25" customHeight="1">
      <x:c r="A91" s="1"/>
      <x:c r="B91" s="1"/>
      <x:c r="C91" s="1"/>
      <x:c r="D91" s="2"/>
      <x:c r="E91" s="2"/>
      <x:c r="F91" s="2"/>
      <x:c r="G91" s="2"/>
      <x:c r="H91" s="2"/>
      <x:c r="I91" s="2"/>
      <x:c r="J91" s="1"/>
    </x:row>
    <x:row r="92" ht="25" customHeight="1">
      <x:c r="A92" s="1"/>
      <x:c r="B92" s="1"/>
      <x:c r="C92" s="1"/>
      <x:c r="D92" s="2"/>
      <x:c r="E92" s="2"/>
      <x:c r="F92" s="2"/>
      <x:c r="G92" s="2"/>
      <x:c r="H92" s="2"/>
      <x:c r="I92" s="2"/>
      <x:c r="J92" s="1"/>
    </x:row>
    <x:row r="93" ht="25" customHeight="1">
      <x:c r="A93" s="1"/>
      <x:c r="B93" s="1"/>
      <x:c r="C93" s="1"/>
      <x:c r="D93" s="2"/>
      <x:c r="E93" s="2"/>
      <x:c r="F93" s="2"/>
      <x:c r="G93" s="2"/>
      <x:c r="H93" s="2"/>
      <x:c r="I93" s="2"/>
      <x:c r="J93" s="1"/>
    </x:row>
    <x:row r="94" ht="25" customHeight="1">
      <x:c r="A94" s="1"/>
      <x:c r="B94" s="1"/>
      <x:c r="C94" s="1"/>
      <x:c r="D94" s="2"/>
      <x:c r="E94" s="2"/>
      <x:c r="F94" s="2"/>
      <x:c r="G94" s="2"/>
      <x:c r="H94" s="2"/>
      <x:c r="I94" s="2"/>
      <x:c r="J94" s="1"/>
    </x:row>
    <x:row r="95" ht="25" customHeight="1">
      <x:c r="A95" s="1"/>
      <x:c r="B95" s="1"/>
      <x:c r="C95" s="1"/>
      <x:c r="D95" s="2"/>
      <x:c r="E95" s="2"/>
      <x:c r="F95" s="2"/>
      <x:c r="G95" s="2"/>
      <x:c r="H95" s="2"/>
      <x:c r="I95" s="2"/>
      <x:c r="J95" s="1"/>
    </x:row>
    <x:row r="96" ht="25" customHeight="1">
      <x:c r="A96" s="1"/>
      <x:c r="B96" s="1"/>
      <x:c r="C96" s="1"/>
      <x:c r="D96" s="2"/>
      <x:c r="E96" s="2"/>
      <x:c r="F96" s="2"/>
      <x:c r="G96" s="2"/>
      <x:c r="H96" s="2"/>
      <x:c r="I96" s="2"/>
      <x:c r="J96" s="1"/>
    </x:row>
    <x:row r="97" ht="25" customHeight="1">
      <x:c r="A97" s="1"/>
      <x:c r="B97" s="1"/>
      <x:c r="C97" s="1"/>
      <x:c r="D97" s="2"/>
      <x:c r="E97" s="2"/>
      <x:c r="F97" s="2"/>
      <x:c r="G97" s="2"/>
      <x:c r="H97" s="2"/>
      <x:c r="I97" s="2"/>
      <x:c r="J97" s="1"/>
    </x:row>
    <x:row r="98" ht="25" customHeight="1">
      <x:c r="A98" s="1"/>
      <x:c r="B98" s="1"/>
      <x:c r="C98" s="1"/>
      <x:c r="D98" s="2"/>
      <x:c r="E98" s="2"/>
      <x:c r="F98" s="2"/>
      <x:c r="G98" s="2"/>
      <x:c r="H98" s="2"/>
      <x:c r="I98" s="2"/>
      <x:c r="J98" s="1"/>
    </x:row>
    <x:row r="99" ht="25" customHeight="1">
      <x:c r="A99" s="1"/>
      <x:c r="B99" s="1"/>
      <x:c r="C99" s="1"/>
      <x:c r="D99" s="2"/>
      <x:c r="E99" s="2"/>
      <x:c r="F99" s="2"/>
      <x:c r="G99" s="2"/>
      <x:c r="H99" s="2"/>
      <x:c r="I99" s="2"/>
      <x:c r="J99" s="1"/>
    </x:row>
    <x:row r="100" ht="25" customHeight="1">
      <x:c r="A100" s="1"/>
      <x:c r="B100" s="1"/>
      <x:c r="C100" s="1"/>
      <x:c r="D100" s="2"/>
      <x:c r="E100" s="2"/>
      <x:c r="F100" s="2"/>
      <x:c r="G100" s="2"/>
      <x:c r="H100" s="2"/>
      <x:c r="I100" s="2"/>
      <x:c r="J100" s="1"/>
    </x:row>
  </x:sheetData>
  <x:mergeCells>
    <x:mergeCell ref="C2:I2"/>
    <x:mergeCell ref="C5:I5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16473E"/>
  </x:sheetPr>
  <x:sheetViews>
    <x:sheetView showGridLines="0" workbookViewId="0">
      <x:pane xSplit="4" ySplit="9" topLeftCell="E10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43" hidden="0" customWidth="1"/>
    <x:col min="4" max="4" width="19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44" customHeight="1">
      <x:c r="A2" s="1"/>
      <x:c r="B2" s="1"/>
      <x:c r="C2" s="6" t="str">
        <x:v>Working capital</x:v>
      </x:c>
      <x:c r="D2" s="6"/>
      <x:c r="E2" s="6"/>
      <x:c r="F2" s="6"/>
      <x:c r="G2" s="6"/>
      <x:c r="H2" s="6"/>
      <x:c r="I2" s="6"/>
      <x:c r="J2" s="1"/>
    </x:row>
    <x:row r="3" ht="25" customHeight="1">
      <x:c r="A3" s="1"/>
      <x:c r="B3" s="1"/>
      <x:c r="C3" s="1" t="str">
        <x:v>Selected case</x:v>
      </x:c>
      <x:c r="D3" s="8" t="str">
        <x:f>IFERROR(IFERROR(CHOOSE('Assumptions'!$D$6,"Base","Downside","Upside"),"Invalid case"),"Incomplete")</x:f>
        <x:v>Base</x:v>
      </x:c>
      <x:c r="E3" s="1"/>
      <x:c r="F3" s="1"/>
      <x:c r="G3" s="1"/>
      <x:c r="H3" s="1"/>
      <x:c r="I3" s="1"/>
      <x:c r="J3" s="1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25" customHeight="1">
      <x:c r="A5" s="1"/>
      <x:c r="B5" s="1"/>
      <x:c r="C5" s="7" t="str">
        <x:v>USD thousands unless stated</x:v>
      </x:c>
      <x:c r="D5" s="7"/>
      <x:c r="E5" s="7"/>
      <x:c r="F5" s="7"/>
      <x:c r="G5" s="7"/>
      <x:c r="H5" s="7"/>
      <x:c r="I5" s="7"/>
      <x:c r="J5" s="1"/>
    </x:row>
    <x:row r="6" ht="25" customHeight="1">
      <x:c r="A6" s="1"/>
      <x:c r="B6" s="1"/>
      <x:c r="C6" s="1"/>
      <x:c r="D6" s="2"/>
      <x:c r="E6" s="2"/>
      <x:c r="F6" s="2"/>
      <x:c r="G6" s="2"/>
      <x:c r="H6" s="2"/>
      <x:c r="I6" s="2"/>
      <x:c r="J6" s="1"/>
    </x:row>
    <x:row r="7" ht="25" customHeight="1">
      <x:c r="A7" s="1"/>
      <x:c r="B7" s="1"/>
      <x:c r="C7" s="1"/>
      <x:c r="D7" s="2"/>
      <x:c r="E7" s="2"/>
      <x:c r="F7" s="2"/>
      <x:c r="G7" s="2"/>
      <x:c r="H7" s="2"/>
      <x:c r="I7" s="2"/>
      <x:c r="J7" s="1"/>
    </x:row>
    <x:row r="8" ht="25" customHeight="1">
      <x:c r="A8" s="1"/>
      <x:c r="B8" s="1"/>
      <x:c r="C8" s="9"/>
      <x:c r="D8" s="10"/>
      <x:c r="E8" s="12" t="n">
        <x:f>IFERROR('History'!$F$6+1,"Incomplete")</x:f>
        <x:v>2027</x:v>
      </x:c>
      <x:c r="F8" s="12" t="n">
        <x:f>IFERROR('History'!$F$6+2,"Incomplete")</x:f>
        <x:v>2028</x:v>
      </x:c>
      <x:c r="G8" s="12" t="n">
        <x:f>IFERROR('History'!$F$6+3,"Incomplete")</x:f>
        <x:v>2029</x:v>
      </x:c>
      <x:c r="H8" s="12" t="n">
        <x:f>IFERROR('History'!$F$6+4,"Incomplete")</x:f>
        <x:v>2030</x:v>
      </x:c>
      <x:c r="I8" s="12" t="n">
        <x:f>IFERROR('History'!$F$6+5,"Incomplete")</x:f>
        <x:v>2031</x:v>
      </x:c>
      <x:c r="J8" s="1"/>
    </x:row>
    <x:row r="9" ht="25" customHeight="1">
      <x:c r="A9" s="1"/>
      <x:c r="B9" s="1"/>
      <x:c r="C9" s="1"/>
      <x:c r="D9" s="2"/>
      <x:c r="E9" s="13" t="str">
        <x:f>IFERROR(IF(1&lt;='Assumptions'!$D$7,"In horizon","Beyond horizon"),"Incomplete")</x:f>
        <x:v>In horizon</x:v>
      </x:c>
      <x:c r="F9" s="13" t="str">
        <x:f>IFERROR(IF(2&lt;='Assumptions'!$D$7,"In horizon","Beyond horizon"),"Incomplete")</x:f>
        <x:v>In horizon</x:v>
      </x:c>
      <x:c r="G9" s="13" t="str">
        <x:f>IFERROR(IF(3&lt;='Assumptions'!$D$7,"In horizon","Beyond horizon"),"Incomplete")</x:f>
        <x:v>In horizon</x:v>
      </x:c>
      <x:c r="H9" s="13" t="str">
        <x:f>IFERROR(IF(4&lt;='Assumptions'!$D$7,"In horizon","Beyond horizon"),"Incomplete")</x:f>
        <x:v>Beyond horizon</x:v>
      </x:c>
      <x:c r="I9" s="13" t="str">
        <x:f>IFERROR(IF(5&lt;='Assumptions'!$D$7,"In horizon","Beyond horizon"),"Incomplete")</x:f>
        <x:v>Beyond horizon</x:v>
      </x:c>
      <x:c r="J9" s="1"/>
    </x:row>
    <x:row r="10" ht="25" customHeight="1">
      <x:c r="A10" s="1"/>
      <x:c r="B10" s="1"/>
      <x:c r="C10" s="1" t="str">
        <x:v>Receivables</x:v>
      </x:c>
      <x:c r="D10" s="2"/>
      <x:c r="E10" s="4" t="n">
        <x:f>IFERROR('Operations'!E12*'Assumptions'!E42,"Incomplete")</x:f>
        <x:v>182.78400000000002</x:v>
      </x:c>
      <x:c r="F10" s="4" t="n">
        <x:f>IFERROR('Operations'!F12*'Assumptions'!F42,"Incomplete")</x:f>
        <x:v>201.35485440000005</x:v>
      </x:c>
      <x:c r="G10" s="4" t="n">
        <x:f>IFERROR('Operations'!G12*'Assumptions'!G42,"Incomplete")</x:f>
        <x:v>217.70486857728008</x:v>
      </x:c>
      <x:c r="H10" s="4" t="n">
        <x:f>IFERROR('Operations'!H12*'Assumptions'!H42,"Incomplete")</x:f>
        <x:v>233.16191424626695</x:v>
      </x:c>
      <x:c r="I10" s="4" t="n">
        <x:f>IFERROR('Operations'!I12*'Assumptions'!I42,"Incomplete")</x:f>
        <x:v>247.33815863243998</x:v>
      </x:c>
      <x:c r="J10" s="1"/>
    </x:row>
    <x:row r="11" ht="25" customHeight="1">
      <x:c r="A11" s="1"/>
      <x:c r="B11" s="1"/>
      <x:c r="C11" s="1" t="str">
        <x:v>Inventory</x:v>
      </x:c>
      <x:c r="D11" s="2"/>
      <x:c r="E11" s="4" t="n">
        <x:f>IFERROR('Operations'!E13*'Assumptions'!E46,"Incomplete")</x:f>
        <x:v>171.36</x:v>
      </x:c>
      <x:c r="F11" s="4" t="n">
        <x:f>IFERROR('Operations'!F13*'Assumptions'!F46,"Incomplete")</x:f>
        <x:v>188.77017600000002</x:v>
      </x:c>
      <x:c r="G11" s="4" t="n">
        <x:f>IFERROR('Operations'!G13*'Assumptions'!G46,"Incomplete")</x:f>
        <x:v>204.09831429120007</x:v>
      </x:c>
      <x:c r="H11" s="4" t="n">
        <x:f>IFERROR('Operations'!H13*'Assumptions'!H46,"Incomplete")</x:f>
        <x:v>218.58929460587524</x:v>
      </x:c>
      <x:c r="I11" s="4" t="n">
        <x:f>IFERROR('Operations'!I13*'Assumptions'!I46,"Incomplete")</x:f>
        <x:v>231.8795237179125</x:v>
      </x:c>
      <x:c r="J11" s="1"/>
    </x:row>
    <x:row r="12" ht="25" customHeight="1">
      <x:c r="A12" s="1"/>
      <x:c r="B12" s="1"/>
      <x:c r="C12" s="1" t="str">
        <x:v>Prepaids</x:v>
      </x:c>
      <x:c r="D12" s="2"/>
      <x:c r="E12" s="4" t="n">
        <x:f>IFERROR('Operations'!E16*'Assumptions'!E54,"Incomplete")</x:f>
        <x:v>22.712000000000003</x:v>
      </x:c>
      <x:c r="F12" s="4" t="n">
        <x:f>IFERROR('Operations'!F16*'Assumptions'!F54,"Incomplete")</x:f>
        <x:v>23.7923392</x:v>
      </x:c>
      <x:c r="G12" s="4" t="n">
        <x:f>IFERROR('Operations'!G16*'Assumptions'!G54,"Incomplete")</x:f>
        <x:v>24.803277143040006</x:v>
      </x:c>
      <x:c r="H12" s="4" t="n">
        <x:f>IFERROR('Operations'!H16*'Assumptions'!H54,"Incomplete")</x:f>
        <x:v>25.786309820195846</x:v>
      </x:c>
      <x:c r="I12" s="4" t="n">
        <x:f>IFERROR('Operations'!I16*'Assumptions'!I54,"Incomplete")</x:f>
        <x:v>26.72931745726375</x:v>
      </x:c>
      <x:c r="J12" s="1"/>
    </x:row>
    <x:row r="13" ht="25" customHeight="1">
      <x:c r="A13" s="1"/>
      <x:c r="B13" s="1"/>
      <x:c r="C13" s="1" t="str">
        <x:v>Payables</x:v>
      </x:c>
      <x:c r="D13" s="2"/>
      <x:c r="E13" s="4" t="n">
        <x:f>IFERROR('Operations'!E13*'Assumptions'!E50,"Incomplete")</x:f>
        <x:v>102.816</x:v>
      </x:c>
      <x:c r="F13" s="4" t="n">
        <x:f>IFERROR('Operations'!F13*'Assumptions'!F50,"Incomplete")</x:f>
        <x:v>113.26210560000001</x:v>
      </x:c>
      <x:c r="G13" s="4" t="n">
        <x:f>IFERROR('Operations'!G13*'Assumptions'!G50,"Incomplete")</x:f>
        <x:v>122.45898857472004</x:v>
      </x:c>
      <x:c r="H13" s="4" t="n">
        <x:f>IFERROR('Operations'!H13*'Assumptions'!H50,"Incomplete")</x:f>
        <x:v>131.15357676352514</x:v>
      </x:c>
      <x:c r="I13" s="4" t="n">
        <x:f>IFERROR('Operations'!I13*'Assumptions'!I50,"Incomplete")</x:f>
        <x:v>139.1277142307475</x:v>
      </x:c>
      <x:c r="J13" s="1"/>
    </x:row>
    <x:row r="14" ht="25" customHeight="1">
      <x:c r="A14" s="1"/>
      <x:c r="B14" s="1"/>
      <x:c r="C14" s="1" t="str">
        <x:v>Accruals</x:v>
      </x:c>
      <x:c r="D14" s="2"/>
      <x:c r="E14" s="4" t="n">
        <x:f>IFERROR('Operations'!E16*'Assumptions'!E58,"Incomplete")</x:f>
        <x:v>22.712000000000003</x:v>
      </x:c>
      <x:c r="F14" s="4" t="n">
        <x:f>IFERROR('Operations'!F16*'Assumptions'!F58,"Incomplete")</x:f>
        <x:v>23.7923392</x:v>
      </x:c>
      <x:c r="G14" s="4" t="n">
        <x:f>IFERROR('Operations'!G16*'Assumptions'!G58,"Incomplete")</x:f>
        <x:v>24.803277143040006</x:v>
      </x:c>
      <x:c r="H14" s="4" t="n">
        <x:f>IFERROR('Operations'!H16*'Assumptions'!H58,"Incomplete")</x:f>
        <x:v>25.786309820195846</x:v>
      </x:c>
      <x:c r="I14" s="4" t="n">
        <x:f>IFERROR('Operations'!I16*'Assumptions'!I58,"Incomplete")</x:f>
        <x:v>26.72931745726375</x:v>
      </x:c>
      <x:c r="J14" s="1"/>
    </x:row>
    <x:row r="15" ht="25" customHeight="1">
      <x:c r="A15" s="1"/>
      <x:c r="B15" s="1"/>
      <x:c r="C15" s="1" t="str">
        <x:v>Receivables cash adjustment</x:v>
      </x:c>
      <x:c r="D15" s="2"/>
      <x:c r="E15" s="4" t="n">
        <x:f>IFERROR('History'!$F$22-E10,"Incomplete")</x:f>
        <x:v>-22.78400000000002</x:v>
      </x:c>
      <x:c r="F15" s="4" t="n">
        <x:f>IFERROR('Working capital'!E10-F10,"Incomplete")</x:f>
        <x:v>-18.57085440000003</x:v>
      </x:c>
      <x:c r="G15" s="4" t="n">
        <x:f>IFERROR('Working capital'!F10-G10,"Incomplete")</x:f>
        <x:v>-16.35001417728003</x:v>
      </x:c>
      <x:c r="H15" s="4" t="n">
        <x:f>IFERROR('Working capital'!G10-H10,"Incomplete")</x:f>
        <x:v>-15.457045668986865</x:v>
      </x:c>
      <x:c r="I15" s="4" t="n">
        <x:f>IFERROR('Working capital'!H10-I10,"Incomplete")</x:f>
        <x:v>-14.176244386173039</x:v>
      </x:c>
      <x:c r="J15" s="1"/>
    </x:row>
    <x:row r="16" ht="25" customHeight="1">
      <x:c r="A16" s="1"/>
      <x:c r="B16" s="1"/>
      <x:c r="C16" s="1" t="str">
        <x:v>Inventory cash adjustment</x:v>
      </x:c>
      <x:c r="D16" s="2"/>
      <x:c r="E16" s="4" t="n">
        <x:f>IFERROR('History'!$F$23-E11,"Incomplete")</x:f>
        <x:v>-46.360000000000014</x:v>
      </x:c>
      <x:c r="F16" s="4" t="n">
        <x:f>IFERROR('Working capital'!E11-F11,"Incomplete")</x:f>
        <x:v>-17.410176000000007</x:v>
      </x:c>
      <x:c r="G16" s="4" t="n">
        <x:f>IFERROR('Working capital'!F11-G11,"Incomplete")</x:f>
        <x:v>-15.328138291200048</x:v>
      </x:c>
      <x:c r="H16" s="4" t="n">
        <x:f>IFERROR('Working capital'!G11-H11,"Incomplete")</x:f>
        <x:v>-14.49098031467517</x:v>
      </x:c>
      <x:c r="I16" s="4" t="n">
        <x:f>IFERROR('Working capital'!H11-I11,"Incomplete")</x:f>
        <x:v>-13.290229112037252</x:v>
      </x:c>
      <x:c r="J16" s="1"/>
    </x:row>
    <x:row r="17" ht="25" customHeight="1">
      <x:c r="A17" s="1"/>
      <x:c r="B17" s="1"/>
      <x:c r="C17" s="1" t="str">
        <x:v>Prepaids cash adjustment</x:v>
      </x:c>
      <x:c r="D17" s="2"/>
      <x:c r="E17" s="4" t="n">
        <x:f>IFERROR('History'!$F$24-E12,"Incomplete")</x:f>
        <x:v>-7.712000000000003</x:v>
      </x:c>
      <x:c r="F17" s="4" t="n">
        <x:f>IFERROR('Working capital'!E12-F12,"Incomplete")</x:f>
        <x:v>-1.0803391999999974</x:v>
      </x:c>
      <x:c r="G17" s="4" t="n">
        <x:f>IFERROR('Working capital'!F12-G12,"Incomplete")</x:f>
        <x:v>-1.0109379430400054</x:v>
      </x:c>
      <x:c r="H17" s="4" t="n">
        <x:f>IFERROR('Working capital'!G12-H12,"Incomplete")</x:f>
        <x:v>-0.9830326771558404</x:v>
      </x:c>
      <x:c r="I17" s="4" t="n">
        <x:f>IFERROR('Working capital'!H12-I12,"Incomplete")</x:f>
        <x:v>-0.9430076370679039</x:v>
      </x:c>
      <x:c r="J17" s="1"/>
    </x:row>
    <x:row r="18" ht="25" customHeight="1">
      <x:c r="A18" s="1"/>
      <x:c r="B18" s="1"/>
      <x:c r="C18" s="1" t="str">
        <x:v>Payables cash adjustment</x:v>
      </x:c>
      <x:c r="D18" s="2"/>
      <x:c r="E18" s="4" t="n">
        <x:f>IFERROR(E13-'History'!$F$25,"Incomplete")</x:f>
        <x:v>17.816000000000003</x:v>
      </x:c>
      <x:c r="F18" s="4" t="n">
        <x:f>IFERROR(F13-'Working capital'!E13,"Incomplete")</x:f>
        <x:v>10.44610560000001</x:v>
      </x:c>
      <x:c r="G18" s="4" t="n">
        <x:f>IFERROR(G13-'Working capital'!F13,"Incomplete")</x:f>
        <x:v>9.196882974720026</x:v>
      </x:c>
      <x:c r="H18" s="4" t="n">
        <x:f>IFERROR(H13-'Working capital'!G13,"Incomplete")</x:f>
        <x:v>8.694588188805099</x:v>
      </x:c>
      <x:c r="I18" s="4" t="n">
        <x:f>IFERROR(I13-'Working capital'!H13,"Incomplete")</x:f>
        <x:v>7.974137467222363</x:v>
      </x:c>
      <x:c r="J18" s="1"/>
    </x:row>
    <x:row r="19" ht="25" customHeight="1">
      <x:c r="A19" s="1"/>
      <x:c r="B19" s="1"/>
      <x:c r="C19" s="1" t="str">
        <x:v>Accruals cash adjustment</x:v>
      </x:c>
      <x:c r="D19" s="2"/>
      <x:c r="E19" s="4" t="n">
        <x:f>IFERROR(E14-'History'!$F$26,"Incomplete")</x:f>
        <x:v>-2.2879999999999967</x:v>
      </x:c>
      <x:c r="F19" s="4" t="n">
        <x:f>IFERROR(F14-'Working capital'!E14,"Incomplete")</x:f>
        <x:v>1.0803391999999974</x:v>
      </x:c>
      <x:c r="G19" s="4" t="n">
        <x:f>IFERROR(G14-'Working capital'!F14,"Incomplete")</x:f>
        <x:v>1.0109379430400054</x:v>
      </x:c>
      <x:c r="H19" s="4" t="n">
        <x:f>IFERROR(H14-'Working capital'!G14,"Incomplete")</x:f>
        <x:v>0.9830326771558404</x:v>
      </x:c>
      <x:c r="I19" s="4" t="n">
        <x:f>IFERROR(I14-'Working capital'!H14,"Incomplete")</x:f>
        <x:v>0.9430076370679039</x:v>
      </x:c>
      <x:c r="J19" s="1"/>
    </x:row>
    <x:row r="20" ht="25" customHeight="1">
      <x:c r="A20" s="1"/>
      <x:c r="B20" s="1"/>
      <x:c r="C20" s="1" t="str">
        <x:v>Operating WC cash adjustment</x:v>
      </x:c>
      <x:c r="D20" s="2"/>
      <x:c r="E20" s="2" t="n">
        <x:f>IFERROR(SUM(E15:E19),"Incomplete")</x:f>
        <x:v>-61.32800000000003</x:v>
      </x:c>
      <x:c r="F20" s="2" t="n">
        <x:f>IFERROR(SUM(F15:F19),"Incomplete")</x:f>
        <x:v>-25.534924800000027</x:v>
      </x:c>
      <x:c r="G20" s="2" t="n">
        <x:f>IFERROR(SUM(G15:G19),"Incomplete")</x:f>
        <x:v>-22.481269493760053</x:v>
      </x:c>
      <x:c r="H20" s="2" t="n">
        <x:f>IFERROR(SUM(H15:H19),"Incomplete")</x:f>
        <x:v>-21.253437794856936</x:v>
      </x:c>
      <x:c r="I20" s="2" t="n">
        <x:f>IFERROR(SUM(I15:I19),"Incomplete")</x:f>
        <x:v>-19.49233603098793</x:v>
      </x:c>
      <x:c r="J20" s="1"/>
    </x:row>
    <x:row r="21" ht="25" customHeight="1">
      <x:c r="A21" s="1"/>
      <x:c r="B21" s="1"/>
      <x:c r="C21" s="1"/>
      <x:c r="D21" s="2"/>
      <x:c r="E21" s="2"/>
      <x:c r="F21" s="2"/>
      <x:c r="G21" s="2"/>
      <x:c r="H21" s="2"/>
      <x:c r="I21" s="2"/>
      <x:c r="J21" s="1"/>
    </x:row>
    <x:row r="22" ht="25" customHeight="1">
      <x:c r="A22" s="1"/>
      <x:c r="B22" s="1"/>
      <x:c r="C22" s="1" t="str">
        <x:v>Cash receipts</x:v>
      </x:c>
      <x:c r="D22" s="2"/>
      <x:c r="E22" s="4" t="n">
        <x:f>IFERROR('Operations'!E12+'History'!$F$22-E10,"Incomplete")</x:f>
        <x:v>1119.616</x:v>
      </x:c>
      <x:c r="F22" s="4" t="n">
        <x:f>IFERROR('Operations'!F12+'Working capital'!E10-F10,"Incomplete")</x:f>
        <x:v>1239.8969856000003</x:v>
      </x:c>
      <x:c r="G22" s="4" t="n">
        <x:f>IFERROR('Operations'!G12+'Working capital'!F10-G10,"Incomplete")</x:f>
        <x:v>1344.3054144307202</x:v>
      </x:c>
      <x:c r="H22" s="4" t="n">
        <x:f>IFERROR('Operations'!H12+'Working capital'!G10-H10,"Incomplete")</x:f>
        <x:v>1441.8049183701814</x:v>
      </x:c>
      <x:c r="I22" s="4" t="n">
        <x:f>IFERROR('Operations'!I12+'Working capital'!H10-I10,"Incomplete")</x:f>
        <x:v>1531.687247066577</x:v>
      </x:c>
      <x:c r="J22" s="1"/>
    </x:row>
    <x:row r="23" ht="25" customHeight="1">
      <x:c r="A23" s="1"/>
      <x:c r="B23" s="1"/>
      <x:c r="C23" s="1" t="str">
        <x:v>Purchases</x:v>
      </x:c>
      <x:c r="D23" s="2"/>
      <x:c r="E23" s="4" t="n">
        <x:f>IFERROR('Operations'!E13+E11-'History'!$F$23,"Incomplete")</x:f>
        <x:v>731.8000000000001</x:v>
      </x:c>
      <x:c r="F23" s="4" t="n">
        <x:f>IFERROR('Operations'!F13+F11-'Working capital'!E11,"Incomplete")</x:f>
        <x:v>772.4908800000001</x:v>
      </x:c>
      <x:c r="G23" s="4" t="n">
        <x:f>IFERROR('Operations'!G13+G11-'Working capital'!F11,"Incomplete")</x:f>
        <x:v>831.7213954560003</x:v>
      </x:c>
      <x:c r="H23" s="4" t="n">
        <x:f>IFERROR('Operations'!H13+H11-'Working capital'!G11,"Incomplete")</x:f>
        <x:v>888.8481587381762</x:v>
      </x:c>
      <x:c r="I23" s="4" t="n">
        <x:f>IFERROR('Operations'!I13+I11-'Working capital'!H11,"Incomplete")</x:f>
        <x:v>940.8083239836872</x:v>
      </x:c>
      <x:c r="J23" s="1"/>
    </x:row>
    <x:row r="24" ht="25" customHeight="1">
      <x:c r="A24" s="1"/>
      <x:c r="B24" s="1"/>
      <x:c r="C24" s="1" t="str">
        <x:v>Cash supplier payments</x:v>
      </x:c>
      <x:c r="D24" s="2"/>
      <x:c r="E24" s="4" t="n">
        <x:f>IFERROR(E23+'History'!$F$25-E13,"Incomplete")</x:f>
        <x:v>713.984</x:v>
      </x:c>
      <x:c r="F24" s="4" t="n">
        <x:f>IFERROR(F23+'Working capital'!E13-F13,"Incomplete")</x:f>
        <x:v>762.0447744</x:v>
      </x:c>
      <x:c r="G24" s="4" t="n">
        <x:f>IFERROR(G23+'Working capital'!F13-G13,"Incomplete")</x:f>
        <x:v>822.5245124812803</x:v>
      </x:c>
      <x:c r="H24" s="4" t="n">
        <x:f>IFERROR(H23+'Working capital'!G13-H13,"Incomplete")</x:f>
        <x:v>880.153570549371</x:v>
      </x:c>
      <x:c r="I24" s="4" t="n">
        <x:f>IFERROR(I23+'Working capital'!H13-I13,"Incomplete")</x:f>
        <x:v>932.8341865164647</x:v>
      </x:c>
      <x:c r="J24" s="1"/>
    </x:row>
    <x:row r="25" ht="25" customHeight="1">
      <x:c r="A25" s="1"/>
      <x:c r="B25" s="1"/>
      <x:c r="C25" s="1" t="str">
        <x:v>Cash opex payments</x:v>
      </x:c>
      <x:c r="D25" s="2"/>
      <x:c r="E25" s="4" t="n">
        <x:f>IFERROR('Operations'!E16+E12-'History'!$F$24+'History'!$F$26-E14,"Incomplete")</x:f>
        <x:v>237.12</x:v>
      </x:c>
      <x:c r="F25" s="4" t="n">
        <x:f>IFERROR('Operations'!F16+F12-'Working capital'!E12+'Working capital'!E14-F14,"Incomplete")</x:f>
        <x:v>237.92339199999998</x:v>
      </x:c>
      <x:c r="G25" s="4" t="n">
        <x:f>IFERROR('Operations'!G16+G12-'Working capital'!F12+'Working capital'!F14-G14,"Incomplete")</x:f>
        <x:v>248.03277143040003</x:v>
      </x:c>
      <x:c r="H25" s="4" t="n">
        <x:f>IFERROR('Operations'!H16+H12-'Working capital'!G12+'Working capital'!G14-H14,"Incomplete")</x:f>
        <x:v>257.86309820195845</x:v>
      </x:c>
      <x:c r="I25" s="4" t="n">
        <x:f>IFERROR('Operations'!I16+I12-'Working capital'!H12+'Working capital'!H14-I14,"Incomplete")</x:f>
        <x:v>267.2931745726375</x:v>
      </x:c>
      <x:c r="J25" s="1"/>
    </x:row>
    <x:row r="26" ht="25" customHeight="1">
      <x:c r="A26" s="1"/>
      <x:c r="B26" s="1"/>
      <x:c r="C26" s="1"/>
      <x:c r="D26" s="2"/>
      <x:c r="E26" s="2"/>
      <x:c r="F26" s="2"/>
      <x:c r="G26" s="2"/>
      <x:c r="H26" s="2"/>
      <x:c r="I26" s="2"/>
      <x:c r="J26" s="1"/>
    </x:row>
    <x:row r="27" ht="25" customHeight="1">
      <x:c r="A27" s="1"/>
      <x:c r="B27" s="1"/>
      <x:c r="C27" s="1"/>
      <x:c r="D27" s="2"/>
      <x:c r="E27" s="2"/>
      <x:c r="F27" s="2"/>
      <x:c r="G27" s="2"/>
      <x:c r="H27" s="2"/>
      <x:c r="I27" s="2"/>
      <x:c r="J27" s="1"/>
    </x:row>
    <x:row r="28" ht="25" customHeight="1">
      <x:c r="A28" s="1"/>
      <x:c r="B28" s="1"/>
      <x:c r="C28" s="1"/>
      <x:c r="D28" s="2"/>
      <x:c r="E28" s="2"/>
      <x:c r="F28" s="2"/>
      <x:c r="G28" s="2"/>
      <x:c r="H28" s="2"/>
      <x:c r="I28" s="2"/>
      <x:c r="J28" s="1"/>
    </x:row>
    <x:row r="29" ht="25" customHeight="1">
      <x:c r="A29" s="1"/>
      <x:c r="B29" s="1"/>
      <x:c r="C29" s="1"/>
      <x:c r="D29" s="2"/>
      <x:c r="E29" s="2"/>
      <x:c r="F29" s="2"/>
      <x:c r="G29" s="2"/>
      <x:c r="H29" s="2"/>
      <x:c r="I29" s="2"/>
      <x:c r="J29" s="1"/>
    </x:row>
    <x:row r="30" ht="25" customHeight="1">
      <x:c r="A30" s="1"/>
      <x:c r="B30" s="1"/>
      <x:c r="C30" s="1"/>
      <x:c r="D30" s="2"/>
      <x:c r="E30" s="2"/>
      <x:c r="F30" s="2"/>
      <x:c r="G30" s="2"/>
      <x:c r="H30" s="2"/>
      <x:c r="I30" s="2"/>
      <x:c r="J30" s="1"/>
    </x:row>
    <x:row r="31" ht="25" customHeight="1">
      <x:c r="A31" s="1"/>
      <x:c r="B31" s="1"/>
      <x:c r="C31" s="1"/>
      <x:c r="D31" s="2"/>
      <x:c r="E31" s="2"/>
      <x:c r="F31" s="2"/>
      <x:c r="G31" s="2"/>
      <x:c r="H31" s="2"/>
      <x:c r="I31" s="2"/>
      <x:c r="J31" s="1"/>
    </x:row>
    <x:row r="32" ht="25" customHeight="1">
      <x:c r="A32" s="1"/>
      <x:c r="B32" s="1"/>
      <x:c r="C32" s="1"/>
      <x:c r="D32" s="2"/>
      <x:c r="E32" s="2"/>
      <x:c r="F32" s="2"/>
      <x:c r="G32" s="2"/>
      <x:c r="H32" s="2"/>
      <x:c r="I32" s="2"/>
      <x:c r="J32" s="1"/>
    </x:row>
    <x:row r="33" ht="25" customHeight="1">
      <x:c r="A33" s="1"/>
      <x:c r="B33" s="1"/>
      <x:c r="C33" s="1"/>
      <x:c r="D33" s="2"/>
      <x:c r="E33" s="2"/>
      <x:c r="F33" s="2"/>
      <x:c r="G33" s="2"/>
      <x:c r="H33" s="2"/>
      <x:c r="I33" s="2"/>
      <x:c r="J33" s="1"/>
    </x:row>
    <x:row r="34" ht="25" customHeight="1">
      <x:c r="A34" s="1"/>
      <x:c r="B34" s="1"/>
      <x:c r="C34" s="1"/>
      <x:c r="D34" s="2"/>
      <x:c r="E34" s="2"/>
      <x:c r="F34" s="2"/>
      <x:c r="G34" s="2"/>
      <x:c r="H34" s="2"/>
      <x:c r="I34" s="2"/>
      <x:c r="J34" s="1"/>
    </x:row>
    <x:row r="35" ht="25" customHeight="1">
      <x:c r="A35" s="1"/>
      <x:c r="B35" s="1"/>
      <x:c r="C35" s="1"/>
      <x:c r="D35" s="2"/>
      <x:c r="E35" s="2"/>
      <x:c r="F35" s="2"/>
      <x:c r="G35" s="2"/>
      <x:c r="H35" s="2"/>
      <x:c r="I35" s="2"/>
      <x:c r="J35" s="1"/>
    </x:row>
    <x:row r="36" ht="25" customHeight="1">
      <x:c r="A36" s="1"/>
      <x:c r="B36" s="1"/>
      <x:c r="C36" s="1"/>
      <x:c r="D36" s="2"/>
      <x:c r="E36" s="2"/>
      <x:c r="F36" s="2"/>
      <x:c r="G36" s="2"/>
      <x:c r="H36" s="2"/>
      <x:c r="I36" s="2"/>
      <x:c r="J36" s="1"/>
    </x:row>
    <x:row r="37" ht="25" customHeight="1">
      <x:c r="A37" s="1"/>
      <x:c r="B37" s="1"/>
      <x:c r="C37" s="1"/>
      <x:c r="D37" s="2"/>
      <x:c r="E37" s="2"/>
      <x:c r="F37" s="2"/>
      <x:c r="G37" s="2"/>
      <x:c r="H37" s="2"/>
      <x:c r="I37" s="2"/>
      <x:c r="J37" s="1"/>
    </x:row>
    <x:row r="38" ht="25" customHeight="1">
      <x:c r="A38" s="1"/>
      <x:c r="B38" s="1"/>
      <x:c r="C38" s="1"/>
      <x:c r="D38" s="2"/>
      <x:c r="E38" s="2"/>
      <x:c r="F38" s="2"/>
      <x:c r="G38" s="2"/>
      <x:c r="H38" s="2"/>
      <x:c r="I38" s="2"/>
      <x:c r="J38" s="1"/>
    </x:row>
    <x:row r="39" ht="25" customHeight="1">
      <x:c r="A39" s="1"/>
      <x:c r="B39" s="1"/>
      <x:c r="C39" s="1"/>
      <x:c r="D39" s="2"/>
      <x:c r="E39" s="2"/>
      <x:c r="F39" s="2"/>
      <x:c r="G39" s="2"/>
      <x:c r="H39" s="2"/>
      <x:c r="I39" s="2"/>
      <x:c r="J39" s="1"/>
    </x:row>
    <x:row r="40" ht="25" customHeight="1">
      <x:c r="A40" s="1"/>
      <x:c r="B40" s="1"/>
      <x:c r="C40" s="1"/>
      <x:c r="D40" s="2"/>
      <x:c r="E40" s="2"/>
      <x:c r="F40" s="2"/>
      <x:c r="G40" s="2"/>
      <x:c r="H40" s="2"/>
      <x:c r="I40" s="2"/>
      <x:c r="J40" s="1"/>
    </x:row>
    <x:row r="41" ht="25" customHeight="1">
      <x:c r="A41" s="1"/>
      <x:c r="B41" s="1"/>
      <x:c r="C41" s="1"/>
      <x:c r="D41" s="2"/>
      <x:c r="E41" s="2"/>
      <x:c r="F41" s="2"/>
      <x:c r="G41" s="2"/>
      <x:c r="H41" s="2"/>
      <x:c r="I41" s="2"/>
      <x:c r="J41" s="1"/>
    </x:row>
    <x:row r="42" ht="25" customHeight="1">
      <x:c r="A42" s="1"/>
      <x:c r="B42" s="1"/>
      <x:c r="C42" s="1"/>
      <x:c r="D42" s="2"/>
      <x:c r="E42" s="2"/>
      <x:c r="F42" s="2"/>
      <x:c r="G42" s="2"/>
      <x:c r="H42" s="2"/>
      <x:c r="I42" s="2"/>
      <x:c r="J42" s="1"/>
    </x:row>
    <x:row r="43" ht="25" customHeight="1">
      <x:c r="A43" s="1"/>
      <x:c r="B43" s="1"/>
      <x:c r="C43" s="1"/>
      <x:c r="D43" s="2"/>
      <x:c r="E43" s="2"/>
      <x:c r="F43" s="2"/>
      <x:c r="G43" s="2"/>
      <x:c r="H43" s="2"/>
      <x:c r="I43" s="2"/>
      <x:c r="J43" s="1"/>
    </x:row>
    <x:row r="44" ht="25" customHeight="1">
      <x:c r="A44" s="1"/>
      <x:c r="B44" s="1"/>
      <x:c r="C44" s="1"/>
      <x:c r="D44" s="2"/>
      <x:c r="E44" s="2"/>
      <x:c r="F44" s="2"/>
      <x:c r="G44" s="2"/>
      <x:c r="H44" s="2"/>
      <x:c r="I44" s="2"/>
      <x:c r="J44" s="1"/>
    </x:row>
    <x:row r="45" ht="25" customHeight="1">
      <x:c r="A45" s="1"/>
      <x:c r="B45" s="1"/>
      <x:c r="C45" s="1"/>
      <x:c r="D45" s="2"/>
      <x:c r="E45" s="2"/>
      <x:c r="F45" s="2"/>
      <x:c r="G45" s="2"/>
      <x:c r="H45" s="2"/>
      <x:c r="I45" s="2"/>
      <x:c r="J45" s="1"/>
    </x:row>
    <x:row r="46" ht="25" customHeight="1">
      <x:c r="A46" s="1"/>
      <x:c r="B46" s="1"/>
      <x:c r="C46" s="1"/>
      <x:c r="D46" s="2"/>
      <x:c r="E46" s="2"/>
      <x:c r="F46" s="2"/>
      <x:c r="G46" s="2"/>
      <x:c r="H46" s="2"/>
      <x:c r="I46" s="2"/>
      <x:c r="J46" s="1"/>
    </x:row>
    <x:row r="47" ht="25" customHeight="1">
      <x:c r="A47" s="1"/>
      <x:c r="B47" s="1"/>
      <x:c r="C47" s="1"/>
      <x:c r="D47" s="2"/>
      <x:c r="E47" s="2"/>
      <x:c r="F47" s="2"/>
      <x:c r="G47" s="2"/>
      <x:c r="H47" s="2"/>
      <x:c r="I47" s="2"/>
      <x:c r="J47" s="1"/>
    </x:row>
    <x:row r="48" ht="25" customHeight="1">
      <x:c r="A48" s="1"/>
      <x:c r="B48" s="1"/>
      <x:c r="C48" s="1"/>
      <x:c r="D48" s="2"/>
      <x:c r="E48" s="2"/>
      <x:c r="F48" s="2"/>
      <x:c r="G48" s="2"/>
      <x:c r="H48" s="2"/>
      <x:c r="I48" s="2"/>
      <x:c r="J48" s="1"/>
    </x:row>
    <x:row r="49" ht="25" customHeight="1">
      <x:c r="A49" s="1"/>
      <x:c r="B49" s="1"/>
      <x:c r="C49" s="1"/>
      <x:c r="D49" s="2"/>
      <x:c r="E49" s="2"/>
      <x:c r="F49" s="2"/>
      <x:c r="G49" s="2"/>
      <x:c r="H49" s="2"/>
      <x:c r="I49" s="2"/>
      <x:c r="J49" s="1"/>
    </x:row>
    <x:row r="50" ht="25" customHeight="1">
      <x:c r="A50" s="1"/>
      <x:c r="B50" s="1"/>
      <x:c r="C50" s="1"/>
      <x:c r="D50" s="2"/>
      <x:c r="E50" s="2"/>
      <x:c r="F50" s="2"/>
      <x:c r="G50" s="2"/>
      <x:c r="H50" s="2"/>
      <x:c r="I50" s="2"/>
      <x:c r="J50" s="1"/>
    </x:row>
    <x:row r="51" ht="25" customHeight="1">
      <x:c r="A51" s="1"/>
      <x:c r="B51" s="1"/>
      <x:c r="C51" s="1"/>
      <x:c r="D51" s="2"/>
      <x:c r="E51" s="2"/>
      <x:c r="F51" s="2"/>
      <x:c r="G51" s="2"/>
      <x:c r="H51" s="2"/>
      <x:c r="I51" s="2"/>
      <x:c r="J51" s="1"/>
    </x:row>
    <x:row r="52" ht="25" customHeight="1">
      <x:c r="A52" s="1"/>
      <x:c r="B52" s="1"/>
      <x:c r="C52" s="1"/>
      <x:c r="D52" s="2"/>
      <x:c r="E52" s="2"/>
      <x:c r="F52" s="2"/>
      <x:c r="G52" s="2"/>
      <x:c r="H52" s="2"/>
      <x:c r="I52" s="2"/>
      <x:c r="J52" s="1"/>
    </x:row>
    <x:row r="53" ht="25" customHeight="1">
      <x:c r="A53" s="1"/>
      <x:c r="B53" s="1"/>
      <x:c r="C53" s="1"/>
      <x:c r="D53" s="2"/>
      <x:c r="E53" s="2"/>
      <x:c r="F53" s="2"/>
      <x:c r="G53" s="2"/>
      <x:c r="H53" s="2"/>
      <x:c r="I53" s="2"/>
      <x:c r="J53" s="1"/>
    </x:row>
    <x:row r="54" ht="25" customHeight="1">
      <x:c r="A54" s="1"/>
      <x:c r="B54" s="1"/>
      <x:c r="C54" s="1"/>
      <x:c r="D54" s="2"/>
      <x:c r="E54" s="2"/>
      <x:c r="F54" s="2"/>
      <x:c r="G54" s="2"/>
      <x:c r="H54" s="2"/>
      <x:c r="I54" s="2"/>
      <x:c r="J54" s="1"/>
    </x:row>
    <x:row r="55" ht="25" customHeight="1">
      <x:c r="A55" s="1"/>
      <x:c r="B55" s="1"/>
      <x:c r="C55" s="1"/>
      <x:c r="D55" s="2"/>
      <x:c r="E55" s="2"/>
      <x:c r="F55" s="2"/>
      <x:c r="G55" s="2"/>
      <x:c r="H55" s="2"/>
      <x:c r="I55" s="2"/>
      <x:c r="J55" s="1"/>
    </x:row>
    <x:row r="56" ht="25" customHeight="1">
      <x:c r="A56" s="1"/>
      <x:c r="B56" s="1"/>
      <x:c r="C56" s="1"/>
      <x:c r="D56" s="2"/>
      <x:c r="E56" s="2"/>
      <x:c r="F56" s="2"/>
      <x:c r="G56" s="2"/>
      <x:c r="H56" s="2"/>
      <x:c r="I56" s="2"/>
      <x:c r="J56" s="1"/>
    </x:row>
    <x:row r="57" ht="25" customHeight="1">
      <x:c r="A57" s="1"/>
      <x:c r="B57" s="1"/>
      <x:c r="C57" s="1"/>
      <x:c r="D57" s="2"/>
      <x:c r="E57" s="2"/>
      <x:c r="F57" s="2"/>
      <x:c r="G57" s="2"/>
      <x:c r="H57" s="2"/>
      <x:c r="I57" s="2"/>
      <x:c r="J57" s="1"/>
    </x:row>
    <x:row r="58" ht="25" customHeight="1">
      <x:c r="A58" s="1"/>
      <x:c r="B58" s="1"/>
      <x:c r="C58" s="1"/>
      <x:c r="D58" s="2"/>
      <x:c r="E58" s="2"/>
      <x:c r="F58" s="2"/>
      <x:c r="G58" s="2"/>
      <x:c r="H58" s="2"/>
      <x:c r="I58" s="2"/>
      <x:c r="J58" s="1"/>
    </x:row>
    <x:row r="59" ht="25" customHeight="1">
      <x:c r="A59" s="1"/>
      <x:c r="B59" s="1"/>
      <x:c r="C59" s="1"/>
      <x:c r="D59" s="2"/>
      <x:c r="E59" s="2"/>
      <x:c r="F59" s="2"/>
      <x:c r="G59" s="2"/>
      <x:c r="H59" s="2"/>
      <x:c r="I59" s="2"/>
      <x:c r="J59" s="1"/>
    </x:row>
    <x:row r="60" ht="25" customHeight="1">
      <x:c r="A60" s="1"/>
      <x:c r="B60" s="1"/>
      <x:c r="C60" s="1"/>
      <x:c r="D60" s="2"/>
      <x:c r="E60" s="2"/>
      <x:c r="F60" s="2"/>
      <x:c r="G60" s="2"/>
      <x:c r="H60" s="2"/>
      <x:c r="I60" s="2"/>
      <x:c r="J60" s="1"/>
    </x:row>
    <x:row r="61" ht="25" customHeight="1">
      <x:c r="A61" s="1"/>
      <x:c r="B61" s="1"/>
      <x:c r="C61" s="1"/>
      <x:c r="D61" s="2"/>
      <x:c r="E61" s="2"/>
      <x:c r="F61" s="2"/>
      <x:c r="G61" s="2"/>
      <x:c r="H61" s="2"/>
      <x:c r="I61" s="2"/>
      <x:c r="J61" s="1"/>
    </x:row>
    <x:row r="62" ht="25" customHeight="1">
      <x:c r="A62" s="1"/>
      <x:c r="B62" s="1"/>
      <x:c r="C62" s="1"/>
      <x:c r="D62" s="2"/>
      <x:c r="E62" s="2"/>
      <x:c r="F62" s="2"/>
      <x:c r="G62" s="2"/>
      <x:c r="H62" s="2"/>
      <x:c r="I62" s="2"/>
      <x:c r="J62" s="1"/>
    </x:row>
    <x:row r="63" ht="25" customHeight="1">
      <x:c r="A63" s="1"/>
      <x:c r="B63" s="1"/>
      <x:c r="C63" s="1"/>
      <x:c r="D63" s="2"/>
      <x:c r="E63" s="2"/>
      <x:c r="F63" s="2"/>
      <x:c r="G63" s="2"/>
      <x:c r="H63" s="2"/>
      <x:c r="I63" s="2"/>
      <x:c r="J63" s="1"/>
    </x:row>
    <x:row r="64" ht="25" customHeight="1">
      <x:c r="A64" s="1"/>
      <x:c r="B64" s="1"/>
      <x:c r="C64" s="1"/>
      <x:c r="D64" s="2"/>
      <x:c r="E64" s="2"/>
      <x:c r="F64" s="2"/>
      <x:c r="G64" s="2"/>
      <x:c r="H64" s="2"/>
      <x:c r="I64" s="2"/>
      <x:c r="J64" s="1"/>
    </x:row>
    <x:row r="65" ht="25" customHeight="1">
      <x:c r="A65" s="1"/>
      <x:c r="B65" s="1"/>
      <x:c r="C65" s="1"/>
      <x:c r="D65" s="2"/>
      <x:c r="E65" s="2"/>
      <x:c r="F65" s="2"/>
      <x:c r="G65" s="2"/>
      <x:c r="H65" s="2"/>
      <x:c r="I65" s="2"/>
      <x:c r="J65" s="1"/>
    </x:row>
    <x:row r="66" ht="25" customHeight="1">
      <x:c r="A66" s="1"/>
      <x:c r="B66" s="1"/>
      <x:c r="C66" s="1"/>
      <x:c r="D66" s="2"/>
      <x:c r="E66" s="2"/>
      <x:c r="F66" s="2"/>
      <x:c r="G66" s="2"/>
      <x:c r="H66" s="2"/>
      <x:c r="I66" s="2"/>
      <x:c r="J66" s="1"/>
    </x:row>
    <x:row r="67" ht="25" customHeight="1">
      <x:c r="A67" s="1"/>
      <x:c r="B67" s="1"/>
      <x:c r="C67" s="1"/>
      <x:c r="D67" s="2"/>
      <x:c r="E67" s="2"/>
      <x:c r="F67" s="2"/>
      <x:c r="G67" s="2"/>
      <x:c r="H67" s="2"/>
      <x:c r="I67" s="2"/>
      <x:c r="J67" s="1"/>
    </x:row>
    <x:row r="68" ht="25" customHeight="1">
      <x:c r="A68" s="1"/>
      <x:c r="B68" s="1"/>
      <x:c r="C68" s="1"/>
      <x:c r="D68" s="2"/>
      <x:c r="E68" s="2"/>
      <x:c r="F68" s="2"/>
      <x:c r="G68" s="2"/>
      <x:c r="H68" s="2"/>
      <x:c r="I68" s="2"/>
      <x:c r="J68" s="1"/>
    </x:row>
    <x:row r="69" ht="25" customHeight="1">
      <x:c r="A69" s="1"/>
      <x:c r="B69" s="1"/>
      <x:c r="C69" s="1"/>
      <x:c r="D69" s="2"/>
      <x:c r="E69" s="2"/>
      <x:c r="F69" s="2"/>
      <x:c r="G69" s="2"/>
      <x:c r="H69" s="2"/>
      <x:c r="I69" s="2"/>
      <x:c r="J69" s="1"/>
    </x:row>
    <x:row r="70" ht="25" customHeight="1">
      <x:c r="A70" s="1"/>
      <x:c r="B70" s="1"/>
      <x:c r="C70" s="1"/>
      <x:c r="D70" s="2"/>
      <x:c r="E70" s="2"/>
      <x:c r="F70" s="2"/>
      <x:c r="G70" s="2"/>
      <x:c r="H70" s="2"/>
      <x:c r="I70" s="2"/>
      <x:c r="J70" s="1"/>
    </x:row>
    <x:row r="71" ht="25" customHeight="1">
      <x:c r="A71" s="1"/>
      <x:c r="B71" s="1"/>
      <x:c r="C71" s="1"/>
      <x:c r="D71" s="2"/>
      <x:c r="E71" s="2"/>
      <x:c r="F71" s="2"/>
      <x:c r="G71" s="2"/>
      <x:c r="H71" s="2"/>
      <x:c r="I71" s="2"/>
      <x:c r="J71" s="1"/>
    </x:row>
    <x:row r="72" ht="25" customHeight="1">
      <x:c r="A72" s="1"/>
      <x:c r="B72" s="1"/>
      <x:c r="C72" s="1"/>
      <x:c r="D72" s="2"/>
      <x:c r="E72" s="2"/>
      <x:c r="F72" s="2"/>
      <x:c r="G72" s="2"/>
      <x:c r="H72" s="2"/>
      <x:c r="I72" s="2"/>
      <x:c r="J72" s="1"/>
    </x:row>
    <x:row r="73" ht="25" customHeight="1">
      <x:c r="A73" s="1"/>
      <x:c r="B73" s="1"/>
      <x:c r="C73" s="1"/>
      <x:c r="D73" s="2"/>
      <x:c r="E73" s="2"/>
      <x:c r="F73" s="2"/>
      <x:c r="G73" s="2"/>
      <x:c r="H73" s="2"/>
      <x:c r="I73" s="2"/>
      <x:c r="J73" s="1"/>
    </x:row>
    <x:row r="74" ht="25" customHeight="1">
      <x:c r="A74" s="1"/>
      <x:c r="B74" s="1"/>
      <x:c r="C74" s="1"/>
      <x:c r="D74" s="2"/>
      <x:c r="E74" s="2"/>
      <x:c r="F74" s="2"/>
      <x:c r="G74" s="2"/>
      <x:c r="H74" s="2"/>
      <x:c r="I74" s="2"/>
      <x:c r="J74" s="1"/>
    </x:row>
    <x:row r="75" ht="25" customHeight="1">
      <x:c r="A75" s="1"/>
      <x:c r="B75" s="1"/>
      <x:c r="C75" s="1"/>
      <x:c r="D75" s="2"/>
      <x:c r="E75" s="2"/>
      <x:c r="F75" s="2"/>
      <x:c r="G75" s="2"/>
      <x:c r="H75" s="2"/>
      <x:c r="I75" s="2"/>
      <x:c r="J75" s="1"/>
    </x:row>
    <x:row r="76" ht="25" customHeight="1">
      <x:c r="A76" s="1"/>
      <x:c r="B76" s="1"/>
      <x:c r="C76" s="1"/>
      <x:c r="D76" s="2"/>
      <x:c r="E76" s="2"/>
      <x:c r="F76" s="2"/>
      <x:c r="G76" s="2"/>
      <x:c r="H76" s="2"/>
      <x:c r="I76" s="2"/>
      <x:c r="J76" s="1"/>
    </x:row>
    <x:row r="77" ht="25" customHeight="1">
      <x:c r="A77" s="1"/>
      <x:c r="B77" s="1"/>
      <x:c r="C77" s="1"/>
      <x:c r="D77" s="2"/>
      <x:c r="E77" s="2"/>
      <x:c r="F77" s="2"/>
      <x:c r="G77" s="2"/>
      <x:c r="H77" s="2"/>
      <x:c r="I77" s="2"/>
      <x:c r="J77" s="1"/>
    </x:row>
    <x:row r="78" ht="25" customHeight="1">
      <x:c r="A78" s="1"/>
      <x:c r="B78" s="1"/>
      <x:c r="C78" s="1"/>
      <x:c r="D78" s="2"/>
      <x:c r="E78" s="2"/>
      <x:c r="F78" s="2"/>
      <x:c r="G78" s="2"/>
      <x:c r="H78" s="2"/>
      <x:c r="I78" s="2"/>
      <x:c r="J78" s="1"/>
    </x:row>
    <x:row r="79" ht="25" customHeight="1">
      <x:c r="A79" s="1"/>
      <x:c r="B79" s="1"/>
      <x:c r="C79" s="1"/>
      <x:c r="D79" s="2"/>
      <x:c r="E79" s="2"/>
      <x:c r="F79" s="2"/>
      <x:c r="G79" s="2"/>
      <x:c r="H79" s="2"/>
      <x:c r="I79" s="2"/>
      <x:c r="J79" s="1"/>
    </x:row>
    <x:row r="80" ht="25" customHeight="1">
      <x:c r="A80" s="1"/>
      <x:c r="B80" s="1"/>
      <x:c r="C80" s="1"/>
      <x:c r="D80" s="2"/>
      <x:c r="E80" s="2"/>
      <x:c r="F80" s="2"/>
      <x:c r="G80" s="2"/>
      <x:c r="H80" s="2"/>
      <x:c r="I80" s="2"/>
      <x:c r="J80" s="1"/>
    </x:row>
    <x:row r="81" ht="25" customHeight="1">
      <x:c r="A81" s="1"/>
      <x:c r="B81" s="1"/>
      <x:c r="C81" s="1"/>
      <x:c r="D81" s="2"/>
      <x:c r="E81" s="2"/>
      <x:c r="F81" s="2"/>
      <x:c r="G81" s="2"/>
      <x:c r="H81" s="2"/>
      <x:c r="I81" s="2"/>
      <x:c r="J81" s="1"/>
    </x:row>
    <x:row r="82" ht="25" customHeight="1">
      <x:c r="A82" s="1"/>
      <x:c r="B82" s="1"/>
      <x:c r="C82" s="1"/>
      <x:c r="D82" s="2"/>
      <x:c r="E82" s="2"/>
      <x:c r="F82" s="2"/>
      <x:c r="G82" s="2"/>
      <x:c r="H82" s="2"/>
      <x:c r="I82" s="2"/>
      <x:c r="J82" s="1"/>
    </x:row>
    <x:row r="83" ht="25" customHeight="1">
      <x:c r="A83" s="1"/>
      <x:c r="B83" s="1"/>
      <x:c r="C83" s="1"/>
      <x:c r="D83" s="2"/>
      <x:c r="E83" s="2"/>
      <x:c r="F83" s="2"/>
      <x:c r="G83" s="2"/>
      <x:c r="H83" s="2"/>
      <x:c r="I83" s="2"/>
      <x:c r="J83" s="1"/>
    </x:row>
    <x:row r="84" ht="25" customHeight="1">
      <x:c r="A84" s="1"/>
      <x:c r="B84" s="1"/>
      <x:c r="C84" s="1"/>
      <x:c r="D84" s="2"/>
      <x:c r="E84" s="2"/>
      <x:c r="F84" s="2"/>
      <x:c r="G84" s="2"/>
      <x:c r="H84" s="2"/>
      <x:c r="I84" s="2"/>
      <x:c r="J84" s="1"/>
    </x:row>
    <x:row r="85" ht="25" customHeight="1">
      <x:c r="A85" s="1"/>
      <x:c r="B85" s="1"/>
      <x:c r="C85" s="1"/>
      <x:c r="D85" s="2"/>
      <x:c r="E85" s="2"/>
      <x:c r="F85" s="2"/>
      <x:c r="G85" s="2"/>
      <x:c r="H85" s="2"/>
      <x:c r="I85" s="2"/>
      <x:c r="J85" s="1"/>
    </x:row>
    <x:row r="86" ht="25" customHeight="1">
      <x:c r="A86" s="1"/>
      <x:c r="B86" s="1"/>
      <x:c r="C86" s="1"/>
      <x:c r="D86" s="2"/>
      <x:c r="E86" s="2"/>
      <x:c r="F86" s="2"/>
      <x:c r="G86" s="2"/>
      <x:c r="H86" s="2"/>
      <x:c r="I86" s="2"/>
      <x:c r="J86" s="1"/>
    </x:row>
    <x:row r="87" ht="25" customHeight="1">
      <x:c r="A87" s="1"/>
      <x:c r="B87" s="1"/>
      <x:c r="C87" s="1"/>
      <x:c r="D87" s="2"/>
      <x:c r="E87" s="2"/>
      <x:c r="F87" s="2"/>
      <x:c r="G87" s="2"/>
      <x:c r="H87" s="2"/>
      <x:c r="I87" s="2"/>
      <x:c r="J87" s="1"/>
    </x:row>
    <x:row r="88" ht="25" customHeight="1">
      <x:c r="A88" s="1"/>
      <x:c r="B88" s="1"/>
      <x:c r="C88" s="1"/>
      <x:c r="D88" s="2"/>
      <x:c r="E88" s="2"/>
      <x:c r="F88" s="2"/>
      <x:c r="G88" s="2"/>
      <x:c r="H88" s="2"/>
      <x:c r="I88" s="2"/>
      <x:c r="J88" s="1"/>
    </x:row>
    <x:row r="89" ht="25" customHeight="1">
      <x:c r="A89" s="1"/>
      <x:c r="B89" s="1"/>
      <x:c r="C89" s="1"/>
      <x:c r="D89" s="2"/>
      <x:c r="E89" s="2"/>
      <x:c r="F89" s="2"/>
      <x:c r="G89" s="2"/>
      <x:c r="H89" s="2"/>
      <x:c r="I89" s="2"/>
      <x:c r="J89" s="1"/>
    </x:row>
    <x:row r="90" ht="25" customHeight="1">
      <x:c r="A90" s="1"/>
      <x:c r="B90" s="1"/>
      <x:c r="C90" s="1"/>
      <x:c r="D90" s="2"/>
      <x:c r="E90" s="2"/>
      <x:c r="F90" s="2"/>
      <x:c r="G90" s="2"/>
      <x:c r="H90" s="2"/>
      <x:c r="I90" s="2"/>
      <x:c r="J90" s="1"/>
    </x:row>
    <x:row r="91" ht="25" customHeight="1">
      <x:c r="A91" s="1"/>
      <x:c r="B91" s="1"/>
      <x:c r="C91" s="1"/>
      <x:c r="D91" s="2"/>
      <x:c r="E91" s="2"/>
      <x:c r="F91" s="2"/>
      <x:c r="G91" s="2"/>
      <x:c r="H91" s="2"/>
      <x:c r="I91" s="2"/>
      <x:c r="J91" s="1"/>
    </x:row>
    <x:row r="92" ht="25" customHeight="1">
      <x:c r="A92" s="1"/>
      <x:c r="B92" s="1"/>
      <x:c r="C92" s="1"/>
      <x:c r="D92" s="2"/>
      <x:c r="E92" s="2"/>
      <x:c r="F92" s="2"/>
      <x:c r="G92" s="2"/>
      <x:c r="H92" s="2"/>
      <x:c r="I92" s="2"/>
      <x:c r="J92" s="1"/>
    </x:row>
    <x:row r="93" ht="25" customHeight="1">
      <x:c r="A93" s="1"/>
      <x:c r="B93" s="1"/>
      <x:c r="C93" s="1"/>
      <x:c r="D93" s="2"/>
      <x:c r="E93" s="2"/>
      <x:c r="F93" s="2"/>
      <x:c r="G93" s="2"/>
      <x:c r="H93" s="2"/>
      <x:c r="I93" s="2"/>
      <x:c r="J93" s="1"/>
    </x:row>
    <x:row r="94" ht="25" customHeight="1">
      <x:c r="A94" s="1"/>
      <x:c r="B94" s="1"/>
      <x:c r="C94" s="1"/>
      <x:c r="D94" s="2"/>
      <x:c r="E94" s="2"/>
      <x:c r="F94" s="2"/>
      <x:c r="G94" s="2"/>
      <x:c r="H94" s="2"/>
      <x:c r="I94" s="2"/>
      <x:c r="J94" s="1"/>
    </x:row>
    <x:row r="95" ht="25" customHeight="1">
      <x:c r="A95" s="1"/>
      <x:c r="B95" s="1"/>
      <x:c r="C95" s="1"/>
      <x:c r="D95" s="2"/>
      <x:c r="E95" s="2"/>
      <x:c r="F95" s="2"/>
      <x:c r="G95" s="2"/>
      <x:c r="H95" s="2"/>
      <x:c r="I95" s="2"/>
      <x:c r="J95" s="1"/>
    </x:row>
    <x:row r="96" ht="25" customHeight="1">
      <x:c r="A96" s="1"/>
      <x:c r="B96" s="1"/>
      <x:c r="C96" s="1"/>
      <x:c r="D96" s="2"/>
      <x:c r="E96" s="2"/>
      <x:c r="F96" s="2"/>
      <x:c r="G96" s="2"/>
      <x:c r="H96" s="2"/>
      <x:c r="I96" s="2"/>
      <x:c r="J96" s="1"/>
    </x:row>
    <x:row r="97" ht="25" customHeight="1">
      <x:c r="A97" s="1"/>
      <x:c r="B97" s="1"/>
      <x:c r="C97" s="1"/>
      <x:c r="D97" s="2"/>
      <x:c r="E97" s="2"/>
      <x:c r="F97" s="2"/>
      <x:c r="G97" s="2"/>
      <x:c r="H97" s="2"/>
      <x:c r="I97" s="2"/>
      <x:c r="J97" s="1"/>
    </x:row>
    <x:row r="98" ht="25" customHeight="1">
      <x:c r="A98" s="1"/>
      <x:c r="B98" s="1"/>
      <x:c r="C98" s="1"/>
      <x:c r="D98" s="2"/>
      <x:c r="E98" s="2"/>
      <x:c r="F98" s="2"/>
      <x:c r="G98" s="2"/>
      <x:c r="H98" s="2"/>
      <x:c r="I98" s="2"/>
      <x:c r="J98" s="1"/>
    </x:row>
    <x:row r="99" ht="25" customHeight="1">
      <x:c r="A99" s="1"/>
      <x:c r="B99" s="1"/>
      <x:c r="C99" s="1"/>
      <x:c r="D99" s="2"/>
      <x:c r="E99" s="2"/>
      <x:c r="F99" s="2"/>
      <x:c r="G99" s="2"/>
      <x:c r="H99" s="2"/>
      <x:c r="I99" s="2"/>
      <x:c r="J99" s="1"/>
    </x:row>
    <x:row r="100" ht="25" customHeight="1">
      <x:c r="A100" s="1"/>
      <x:c r="B100" s="1"/>
      <x:c r="C100" s="1"/>
      <x:c r="D100" s="2"/>
      <x:c r="E100" s="2"/>
      <x:c r="F100" s="2"/>
      <x:c r="G100" s="2"/>
      <x:c r="H100" s="2"/>
      <x:c r="I100" s="2"/>
      <x:c r="J100" s="1"/>
    </x:row>
  </x:sheetData>
  <x:mergeCells>
    <x:mergeCell ref="C2:I2"/>
    <x:mergeCell ref="C5:I5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16473E"/>
  </x:sheetPr>
  <x:sheetViews>
    <x:sheetView showGridLines="0" workbookViewId="0">
      <x:pane xSplit="4" ySplit="9" topLeftCell="E10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43" hidden="0" customWidth="1"/>
    <x:col min="4" max="4" width="19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44" customHeight="1">
      <x:c r="A2" s="1"/>
      <x:c r="B2" s="1"/>
      <x:c r="C2" s="6" t="str">
        <x:v>Assets</x:v>
      </x:c>
      <x:c r="D2" s="6"/>
      <x:c r="E2" s="6"/>
      <x:c r="F2" s="6"/>
      <x:c r="G2" s="6"/>
      <x:c r="H2" s="6"/>
      <x:c r="I2" s="6"/>
      <x:c r="J2" s="1"/>
    </x:row>
    <x:row r="3" ht="25" customHeight="1">
      <x:c r="A3" s="1"/>
      <x:c r="B3" s="1"/>
      <x:c r="C3" s="1" t="str">
        <x:v>Selected case</x:v>
      </x:c>
      <x:c r="D3" s="8" t="str">
        <x:f>IFERROR(IFERROR(CHOOSE('Assumptions'!$D$6,"Base","Downside","Upside"),"Invalid case"),"Incomplete")</x:f>
        <x:v>Base</x:v>
      </x:c>
      <x:c r="E3" s="1"/>
      <x:c r="F3" s="1"/>
      <x:c r="G3" s="1"/>
      <x:c r="H3" s="1"/>
      <x:c r="I3" s="1"/>
      <x:c r="J3" s="1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25" customHeight="1">
      <x:c r="A5" s="1"/>
      <x:c r="B5" s="1"/>
      <x:c r="C5" s="7" t="str">
        <x:v>USD thousands unless stated</x:v>
      </x:c>
      <x:c r="D5" s="7"/>
      <x:c r="E5" s="7"/>
      <x:c r="F5" s="7"/>
      <x:c r="G5" s="7"/>
      <x:c r="H5" s="7"/>
      <x:c r="I5" s="7"/>
      <x:c r="J5" s="1"/>
    </x:row>
    <x:row r="6" ht="25" customHeight="1">
      <x:c r="A6" s="1"/>
      <x:c r="B6" s="1"/>
      <x:c r="C6" s="1"/>
      <x:c r="D6" s="2"/>
      <x:c r="E6" s="2"/>
      <x:c r="F6" s="2"/>
      <x:c r="G6" s="2"/>
      <x:c r="H6" s="2"/>
      <x:c r="I6" s="2"/>
      <x:c r="J6" s="1"/>
    </x:row>
    <x:row r="7" ht="25" customHeight="1">
      <x:c r="A7" s="1"/>
      <x:c r="B7" s="1"/>
      <x:c r="C7" s="1"/>
      <x:c r="D7" s="2"/>
      <x:c r="E7" s="2"/>
      <x:c r="F7" s="2"/>
      <x:c r="G7" s="2"/>
      <x:c r="H7" s="2"/>
      <x:c r="I7" s="2"/>
      <x:c r="J7" s="1"/>
    </x:row>
    <x:row r="8" ht="25" customHeight="1">
      <x:c r="A8" s="1"/>
      <x:c r="B8" s="1"/>
      <x:c r="C8" s="9"/>
      <x:c r="D8" s="10"/>
      <x:c r="E8" s="12" t="n">
        <x:f>IFERROR('History'!$F$6+1,"Incomplete")</x:f>
        <x:v>2027</x:v>
      </x:c>
      <x:c r="F8" s="12" t="n">
        <x:f>IFERROR('History'!$F$6+2,"Incomplete")</x:f>
        <x:v>2028</x:v>
      </x:c>
      <x:c r="G8" s="12" t="n">
        <x:f>IFERROR('History'!$F$6+3,"Incomplete")</x:f>
        <x:v>2029</x:v>
      </x:c>
      <x:c r="H8" s="12" t="n">
        <x:f>IFERROR('History'!$F$6+4,"Incomplete")</x:f>
        <x:v>2030</x:v>
      </x:c>
      <x:c r="I8" s="12" t="n">
        <x:f>IFERROR('History'!$F$6+5,"Incomplete")</x:f>
        <x:v>2031</x:v>
      </x:c>
      <x:c r="J8" s="1"/>
    </x:row>
    <x:row r="9" ht="25" customHeight="1">
      <x:c r="A9" s="1"/>
      <x:c r="B9" s="1"/>
      <x:c r="C9" s="1"/>
      <x:c r="D9" s="2"/>
      <x:c r="E9" s="13" t="str">
        <x:f>IFERROR(IF(1&lt;='Assumptions'!$D$7,"In horizon","Beyond horizon"),"Incomplete")</x:f>
        <x:v>In horizon</x:v>
      </x:c>
      <x:c r="F9" s="13" t="str">
        <x:f>IFERROR(IF(2&lt;='Assumptions'!$D$7,"In horizon","Beyond horizon"),"Incomplete")</x:f>
        <x:v>In horizon</x:v>
      </x:c>
      <x:c r="G9" s="13" t="str">
        <x:f>IFERROR(IF(3&lt;='Assumptions'!$D$7,"In horizon","Beyond horizon"),"Incomplete")</x:f>
        <x:v>In horizon</x:v>
      </x:c>
      <x:c r="H9" s="13" t="str">
        <x:f>IFERROR(IF(4&lt;='Assumptions'!$D$7,"In horizon","Beyond horizon"),"Incomplete")</x:f>
        <x:v>Beyond horizon</x:v>
      </x:c>
      <x:c r="I9" s="13" t="str">
        <x:f>IFERROR(IF(5&lt;='Assumptions'!$D$7,"In horizon","Beyond horizon"),"Incomplete")</x:f>
        <x:v>Beyond horizon</x:v>
      </x:c>
      <x:c r="J9" s="1"/>
    </x:row>
    <x:row r="10" ht="25" customHeight="1">
      <x:c r="A10" s="1"/>
      <x:c r="B10" s="1"/>
      <x:c r="C10" s="1" t="str">
        <x:v>Opening gross PP&amp;E</x:v>
      </x:c>
      <x:c r="D10" s="2"/>
      <x:c r="E10" s="4" t="n">
        <x:f>IFERROR('History'!$F$35,"Incomplete")</x:f>
        <x:v>500</x:v>
      </x:c>
      <x:c r="F10" s="4" t="n">
        <x:f>IFERROR('Assets'!E12,"Incomplete")</x:f>
        <x:v>605</x:v>
      </x:c>
      <x:c r="G10" s="4" t="n">
        <x:f>IFERROR('Assets'!F12,"Incomplete")</x:f>
        <x:v>680</x:v>
      </x:c>
      <x:c r="H10" s="4" t="n">
        <x:f>IFERROR('Assets'!G12,"Incomplete")</x:f>
        <x:v>755</x:v>
      </x:c>
      <x:c r="I10" s="4" t="n">
        <x:f>IFERROR('Assets'!H12,"Incomplete")</x:f>
        <x:v>830</x:v>
      </x:c>
      <x:c r="J10" s="1"/>
    </x:row>
    <x:row r="11" ht="25" customHeight="1">
      <x:c r="A11" s="1"/>
      <x:c r="B11" s="1"/>
      <x:c r="C11" s="1" t="str">
        <x:v>Cash PP&amp;E additions</x:v>
      </x:c>
      <x:c r="D11" s="2"/>
      <x:c r="E11" s="4" t="n">
        <x:f>IFERROR('Assumptions'!E62,"Incomplete")</x:f>
        <x:v>105</x:v>
      </x:c>
      <x:c r="F11" s="4" t="n">
        <x:f>IFERROR('Assumptions'!F62,"Incomplete")</x:f>
        <x:v>75</x:v>
      </x:c>
      <x:c r="G11" s="4" t="n">
        <x:f>IFERROR('Assumptions'!G62,"Incomplete")</x:f>
        <x:v>75</x:v>
      </x:c>
      <x:c r="H11" s="4" t="n">
        <x:f>IFERROR('Assumptions'!H62,"Incomplete")</x:f>
        <x:v>75</x:v>
      </x:c>
      <x:c r="I11" s="4" t="n">
        <x:f>IFERROR('Assumptions'!I62,"Incomplete")</x:f>
        <x:v>75</x:v>
      </x:c>
      <x:c r="J11" s="1"/>
    </x:row>
    <x:row r="12" ht="25" customHeight="1">
      <x:c r="A12" s="1"/>
      <x:c r="B12" s="1"/>
      <x:c r="C12" s="1" t="str">
        <x:v>Closing gross PP&amp;E</x:v>
      </x:c>
      <x:c r="D12" s="2"/>
      <x:c r="E12" s="2" t="n">
        <x:f>IFERROR(E10+E11,"Incomplete")</x:f>
        <x:v>605</x:v>
      </x:c>
      <x:c r="F12" s="2" t="n">
        <x:f>IFERROR(F10+F11,"Incomplete")</x:f>
        <x:v>680</x:v>
      </x:c>
      <x:c r="G12" s="2" t="n">
        <x:f>IFERROR(G10+G11,"Incomplete")</x:f>
        <x:v>755</x:v>
      </x:c>
      <x:c r="H12" s="2" t="n">
        <x:f>IFERROR(H10+H11,"Incomplete")</x:f>
        <x:v>830</x:v>
      </x:c>
      <x:c r="I12" s="2" t="n">
        <x:f>IFERROR(I10+I11,"Incomplete")</x:f>
        <x:v>905</x:v>
      </x:c>
      <x:c r="J12" s="1"/>
    </x:row>
    <x:row r="13" ht="25" customHeight="1">
      <x:c r="A13" s="1"/>
      <x:c r="B13" s="1"/>
      <x:c r="C13" s="1" t="str">
        <x:v>Opening accumulated depreciation</x:v>
      </x:c>
      <x:c r="D13" s="2"/>
      <x:c r="E13" s="4" t="n">
        <x:f>IFERROR('History'!$F$36,"Incomplete")</x:f>
        <x:v>180</x:v>
      </x:c>
      <x:c r="F13" s="4" t="n">
        <x:f>IFERROR('Assets'!E15,"Incomplete")</x:f>
        <x:v>260</x:v>
      </x:c>
      <x:c r="G13" s="4" t="n">
        <x:f>IFERROR('Assets'!F15,"Incomplete")</x:f>
        <x:v>366.25</x:v>
      </x:c>
      <x:c r="H13" s="4" t="n">
        <x:f>IFERROR('Assets'!G15,"Incomplete")</x:f>
        <x:v>491.25</x:v>
      </x:c>
      <x:c r="I13" s="4" t="n">
        <x:f>IFERROR('Assets'!H15,"Incomplete")</x:f>
        <x:v>635</x:v>
      </x:c>
      <x:c r="J13" s="1"/>
    </x:row>
    <x:row r="14" ht="25" customHeight="1">
      <x:c r="A14" s="1"/>
      <x:c r="B14" s="1"/>
      <x:c r="C14" s="1" t="str">
        <x:v>Depreciation charge</x:v>
      </x:c>
      <x:c r="D14" s="2"/>
      <x:c r="E14" s="2" t="n">
        <x:f>IFERROR(SUM(E27:E32),"Incomplete")</x:f>
        <x:v>80</x:v>
      </x:c>
      <x:c r="F14" s="2" t="n">
        <x:f>IFERROR(SUM(F27:F32),"Incomplete")</x:f>
        <x:v>106.25</x:v>
      </x:c>
      <x:c r="G14" s="2" t="n">
        <x:f>IFERROR(SUM(G27:G32),"Incomplete")</x:f>
        <x:v>125</x:v>
      </x:c>
      <x:c r="H14" s="2" t="n">
        <x:f>IFERROR(SUM(H27:H32),"Incomplete")</x:f>
        <x:v>143.75</x:v>
      </x:c>
      <x:c r="I14" s="2" t="n">
        <x:f>IFERROR(SUM(I27:I32),"Incomplete")</x:f>
        <x:v>82.5</x:v>
      </x:c>
      <x:c r="J14" s="1"/>
    </x:row>
    <x:row r="15" ht="25" customHeight="1">
      <x:c r="A15" s="1"/>
      <x:c r="B15" s="1"/>
      <x:c r="C15" s="1" t="str">
        <x:v>Closing accumulated depreciation</x:v>
      </x:c>
      <x:c r="D15" s="2"/>
      <x:c r="E15" s="2" t="n">
        <x:f>IFERROR(E13+E14,"Incomplete")</x:f>
        <x:v>260</x:v>
      </x:c>
      <x:c r="F15" s="2" t="n">
        <x:f>IFERROR(F13+F14,"Incomplete")</x:f>
        <x:v>366.25</x:v>
      </x:c>
      <x:c r="G15" s="2" t="n">
        <x:f>IFERROR(G13+G14,"Incomplete")</x:f>
        <x:v>491.25</x:v>
      </x:c>
      <x:c r="H15" s="2" t="n">
        <x:f>IFERROR(H13+H14,"Incomplete")</x:f>
        <x:v>635</x:v>
      </x:c>
      <x:c r="I15" s="2" t="n">
        <x:f>IFERROR(I13+I14,"Incomplete")</x:f>
        <x:v>717.5</x:v>
      </x:c>
      <x:c r="J15" s="1"/>
    </x:row>
    <x:row r="16" ht="25" customHeight="1">
      <x:c r="A16" s="1"/>
      <x:c r="B16" s="1"/>
      <x:c r="C16" s="1" t="str">
        <x:v>Closing net PP&amp;E</x:v>
      </x:c>
      <x:c r="D16" s="2"/>
      <x:c r="E16" s="2" t="n">
        <x:f>IFERROR(E12-E15,"Incomplete")</x:f>
        <x:v>345</x:v>
      </x:c>
      <x:c r="F16" s="2" t="n">
        <x:f>IFERROR(F12-F15,"Incomplete")</x:f>
        <x:v>313.75</x:v>
      </x:c>
      <x:c r="G16" s="2" t="n">
        <x:f>IFERROR(G12-G15,"Incomplete")</x:f>
        <x:v>263.75</x:v>
      </x:c>
      <x:c r="H16" s="2" t="n">
        <x:f>IFERROR(H12-H15,"Incomplete")</x:f>
        <x:v>195</x:v>
      </x:c>
      <x:c r="I16" s="2" t="n">
        <x:f>IFERROR(I12-I15,"Incomplete")</x:f>
        <x:v>187.5</x:v>
      </x:c>
      <x:c r="J16" s="1"/>
    </x:row>
    <x:row r="17" ht="25" customHeight="1">
      <x:c r="A17" s="1"/>
      <x:c r="B17" s="1"/>
      <x:c r="C17" s="1"/>
      <x:c r="D17" s="2"/>
      <x:c r="E17" s="2"/>
      <x:c r="F17" s="2"/>
      <x:c r="G17" s="2"/>
      <x:c r="H17" s="2"/>
      <x:c r="I17" s="2"/>
      <x:c r="J17" s="1"/>
    </x:row>
    <x:row r="18" ht="25" customHeight="1">
      <x:c r="A18" s="1"/>
      <x:c r="B18" s="1"/>
      <x:c r="C18" s="1" t="str">
        <x:v>Opening gross software</x:v>
      </x:c>
      <x:c r="D18" s="2"/>
      <x:c r="E18" s="4" t="n">
        <x:f>IFERROR('History'!$F$37,"Incomplete")</x:f>
        <x:v>80</x:v>
      </x:c>
      <x:c r="F18" s="4" t="n">
        <x:f>IFERROR('Assets'!E20,"Incomplete")</x:f>
        <x:v>89</x:v>
      </x:c>
      <x:c r="G18" s="4" t="n">
        <x:f>IFERROR('Assets'!F20,"Incomplete")</x:f>
        <x:v>98</x:v>
      </x:c>
      <x:c r="H18" s="4" t="n">
        <x:f>IFERROR('Assets'!G20,"Incomplete")</x:f>
        <x:v>107</x:v>
      </x:c>
      <x:c r="I18" s="4" t="n">
        <x:f>IFERROR('Assets'!H20,"Incomplete")</x:f>
        <x:v>116</x:v>
      </x:c>
      <x:c r="J18" s="1"/>
    </x:row>
    <x:row r="19" ht="25" customHeight="1">
      <x:c r="A19" s="1"/>
      <x:c r="B19" s="1"/>
      <x:c r="C19" s="1" t="str">
        <x:v>Cash software additions</x:v>
      </x:c>
      <x:c r="D19" s="2"/>
      <x:c r="E19" s="4" t="n">
        <x:f>IFERROR('Assumptions'!E66,"Incomplete")</x:f>
        <x:v>9</x:v>
      </x:c>
      <x:c r="F19" s="4" t="n">
        <x:f>IFERROR('Assumptions'!F66,"Incomplete")</x:f>
        <x:v>9</x:v>
      </x:c>
      <x:c r="G19" s="4" t="n">
        <x:f>IFERROR('Assumptions'!G66,"Incomplete")</x:f>
        <x:v>9</x:v>
      </x:c>
      <x:c r="H19" s="4" t="n">
        <x:f>IFERROR('Assumptions'!H66,"Incomplete")</x:f>
        <x:v>9</x:v>
      </x:c>
      <x:c r="I19" s="4" t="n">
        <x:f>IFERROR('Assumptions'!I66,"Incomplete")</x:f>
        <x:v>9</x:v>
      </x:c>
      <x:c r="J19" s="1"/>
    </x:row>
    <x:row r="20" ht="25" customHeight="1">
      <x:c r="A20" s="1"/>
      <x:c r="B20" s="1"/>
      <x:c r="C20" s="1" t="str">
        <x:v>Closing gross software</x:v>
      </x:c>
      <x:c r="D20" s="2"/>
      <x:c r="E20" s="2" t="n">
        <x:f>IFERROR(E18+E19,"Incomplete")</x:f>
        <x:v>89</x:v>
      </x:c>
      <x:c r="F20" s="2" t="n">
        <x:f>IFERROR(F18+F19,"Incomplete")</x:f>
        <x:v>98</x:v>
      </x:c>
      <x:c r="G20" s="2" t="n">
        <x:f>IFERROR(G18+G19,"Incomplete")</x:f>
        <x:v>107</x:v>
      </x:c>
      <x:c r="H20" s="2" t="n">
        <x:f>IFERROR(H18+H19,"Incomplete")</x:f>
        <x:v>116</x:v>
      </x:c>
      <x:c r="I20" s="2" t="n">
        <x:f>IFERROR(I18+I19,"Incomplete")</x:f>
        <x:v>125</x:v>
      </x:c>
      <x:c r="J20" s="1"/>
    </x:row>
    <x:row r="21" ht="25" customHeight="1">
      <x:c r="A21" s="1"/>
      <x:c r="B21" s="1"/>
      <x:c r="C21" s="1" t="str">
        <x:v>Opening accumulated amortization</x:v>
      </x:c>
      <x:c r="D21" s="2"/>
      <x:c r="E21" s="4" t="n">
        <x:f>IFERROR('History'!$F$38,"Incomplete")</x:f>
        <x:v>32</x:v>
      </x:c>
      <x:c r="F21" s="4" t="n">
        <x:f>IFERROR('Assets'!E23,"Incomplete")</x:f>
        <x:v>48</x:v>
      </x:c>
      <x:c r="G21" s="4" t="n">
        <x:f>IFERROR('Assets'!F23,"Incomplete")</x:f>
        <x:v>67</x:v>
      </x:c>
      <x:c r="H21" s="4" t="n">
        <x:f>IFERROR('Assets'!G23,"Incomplete")</x:f>
        <x:v>89</x:v>
      </x:c>
      <x:c r="I21" s="4" t="n">
        <x:f>IFERROR('Assets'!H23,"Incomplete")</x:f>
        <x:v>98</x:v>
      </x:c>
      <x:c r="J21" s="1"/>
    </x:row>
    <x:row r="22" ht="25" customHeight="1">
      <x:c r="A22" s="1"/>
      <x:c r="B22" s="1"/>
      <x:c r="C22" s="1" t="str">
        <x:v>Amortization charge</x:v>
      </x:c>
      <x:c r="D22" s="2"/>
      <x:c r="E22" s="2" t="n">
        <x:f>IFERROR(SUM(E35:E40),"Incomplete")</x:f>
        <x:v>16</x:v>
      </x:c>
      <x:c r="F22" s="2" t="n">
        <x:f>IFERROR(SUM(F35:F40),"Incomplete")</x:f>
        <x:v>19</x:v>
      </x:c>
      <x:c r="G22" s="2" t="n">
        <x:f>IFERROR(SUM(G35:G40),"Incomplete")</x:f>
        <x:v>22</x:v>
      </x:c>
      <x:c r="H22" s="2" t="n">
        <x:f>IFERROR(SUM(H35:H40),"Incomplete")</x:f>
        <x:v>9</x:v>
      </x:c>
      <x:c r="I22" s="2" t="n">
        <x:f>IFERROR(SUM(I35:I40),"Incomplete")</x:f>
        <x:v>9</x:v>
      </x:c>
      <x:c r="J22" s="1"/>
    </x:row>
    <x:row r="23" ht="25" customHeight="1">
      <x:c r="A23" s="1"/>
      <x:c r="B23" s="1"/>
      <x:c r="C23" s="1" t="str">
        <x:v>Closing accumulated amortization</x:v>
      </x:c>
      <x:c r="D23" s="2"/>
      <x:c r="E23" s="2" t="n">
        <x:f>IFERROR(E21+E22,"Incomplete")</x:f>
        <x:v>48</x:v>
      </x:c>
      <x:c r="F23" s="2" t="n">
        <x:f>IFERROR(F21+F22,"Incomplete")</x:f>
        <x:v>67</x:v>
      </x:c>
      <x:c r="G23" s="2" t="n">
        <x:f>IFERROR(G21+G22,"Incomplete")</x:f>
        <x:v>89</x:v>
      </x:c>
      <x:c r="H23" s="2" t="n">
        <x:f>IFERROR(H21+H22,"Incomplete")</x:f>
        <x:v>98</x:v>
      </x:c>
      <x:c r="I23" s="2" t="n">
        <x:f>IFERROR(I21+I22,"Incomplete")</x:f>
        <x:v>107</x:v>
      </x:c>
      <x:c r="J23" s="1"/>
    </x:row>
    <x:row r="24" ht="25" customHeight="1">
      <x:c r="A24" s="1"/>
      <x:c r="B24" s="1"/>
      <x:c r="C24" s="1" t="str">
        <x:v>Closing net software</x:v>
      </x:c>
      <x:c r="D24" s="2"/>
      <x:c r="E24" s="2" t="n">
        <x:f>IFERROR(E20-E23,"Incomplete")</x:f>
        <x:v>41</x:v>
      </x:c>
      <x:c r="F24" s="2" t="n">
        <x:f>IFERROR(F20-F23,"Incomplete")</x:f>
        <x:v>31</x:v>
      </x:c>
      <x:c r="G24" s="2" t="n">
        <x:f>IFERROR(G20-G23,"Incomplete")</x:f>
        <x:v>18</x:v>
      </x:c>
      <x:c r="H24" s="2" t="n">
        <x:f>IFERROR(H20-H23,"Incomplete")</x:f>
        <x:v>18</x:v>
      </x:c>
      <x:c r="I24" s="2" t="n">
        <x:f>IFERROR(I20-I23,"Incomplete")</x:f>
        <x:v>18</x:v>
      </x:c>
      <x:c r="J24" s="1"/>
    </x:row>
    <x:row r="25" ht="25" customHeight="1">
      <x:c r="A25" s="1"/>
      <x:c r="B25" s="1"/>
      <x:c r="C25" s="1"/>
      <x:c r="D25" s="2"/>
      <x:c r="E25" s="2"/>
      <x:c r="F25" s="2"/>
      <x:c r="G25" s="2"/>
      <x:c r="H25" s="2"/>
      <x:c r="I25" s="2"/>
      <x:c r="J25" s="1"/>
    </x:row>
    <x:row r="26" ht="25" customHeight="1">
      <x:c r="A26" s="1"/>
      <x:c r="B26" s="1"/>
      <x:c r="C26" s="1"/>
      <x:c r="D26" s="2"/>
      <x:c r="E26" s="2"/>
      <x:c r="F26" s="2"/>
      <x:c r="G26" s="2"/>
      <x:c r="H26" s="2"/>
      <x:c r="I26" s="2"/>
      <x:c r="J26" s="1"/>
    </x:row>
    <x:row r="27" ht="25" customHeight="1">
      <x:c r="A27" s="1"/>
      <x:c r="B27" s="1"/>
      <x:c r="C27" s="1" t="str">
        <x:v>Opening PP&amp;E pool depreciation</x:v>
      </x:c>
      <x:c r="D27" s="2"/>
      <x:c r="E27" s="4" t="n">
        <x:f>IFERROR(IF(1&lt;='Assumptions'!$D$15,'History'!$F$29/'Assumptions'!$D$15,0),"Incomplete")</x:f>
        <x:v>80</x:v>
      </x:c>
      <x:c r="F27" s="4" t="n">
        <x:f>IFERROR(IF(2&lt;='Assumptions'!$D$15,'History'!$F$29/'Assumptions'!$D$15,0),"Incomplete")</x:f>
        <x:v>80</x:v>
      </x:c>
      <x:c r="G27" s="4" t="n">
        <x:f>IFERROR(IF(3&lt;='Assumptions'!$D$15,'History'!$F$29/'Assumptions'!$D$15,0),"Incomplete")</x:f>
        <x:v>80</x:v>
      </x:c>
      <x:c r="H27" s="4" t="n">
        <x:f>IFERROR(IF(4&lt;='Assumptions'!$D$15,'History'!$F$29/'Assumptions'!$D$15,0),"Incomplete")</x:f>
        <x:v>80</x:v>
      </x:c>
      <x:c r="I27" s="4" t="n">
        <x:f>IFERROR(IF(5&lt;='Assumptions'!$D$15,'History'!$F$29/'Assumptions'!$D$15,0),"Incomplete")</x:f>
        <x:v>0</x:v>
      </x:c>
      <x:c r="J27" s="1"/>
    </x:row>
    <x:row r="28" ht="25" customHeight="1">
      <x:c r="A28" s="1"/>
      <x:c r="B28" s="1"/>
      <x:c r="C28" s="1" t="str">
        <x:v>2027 PP&amp;E vintage</x:v>
      </x:c>
      <x:c r="D28" s="2"/>
      <x:c r="E28" s="4" t="n">
        <x:f>IFERROR(IF(AND(0&gt;0,0&lt;='Assumptions'!$D$15),E$11/'Assumptions'!$D$15,0),"Incomplete")</x:f>
        <x:v>0</x:v>
      </x:c>
      <x:c r="F28" s="4" t="n">
        <x:f>IFERROR(IF(AND(1&gt;0,1&lt;='Assumptions'!$D$15),E$11/'Assumptions'!$D$15,0),"Incomplete")</x:f>
        <x:v>26.25</x:v>
      </x:c>
      <x:c r="G28" s="4" t="n">
        <x:f>IFERROR(IF(AND(2&gt;0,2&lt;='Assumptions'!$D$15),E$11/'Assumptions'!$D$15,0),"Incomplete")</x:f>
        <x:v>26.25</x:v>
      </x:c>
      <x:c r="H28" s="4" t="n">
        <x:f>IFERROR(IF(AND(3&gt;0,3&lt;='Assumptions'!$D$15),E$11/'Assumptions'!$D$15,0),"Incomplete")</x:f>
        <x:v>26.25</x:v>
      </x:c>
      <x:c r="I28" s="4" t="n">
        <x:f>IFERROR(IF(AND(4&gt;0,4&lt;='Assumptions'!$D$15),E$11/'Assumptions'!$D$15,0),"Incomplete")</x:f>
        <x:v>26.25</x:v>
      </x:c>
      <x:c r="J28" s="1"/>
    </x:row>
    <x:row r="29" ht="25" customHeight="1">
      <x:c r="A29" s="1"/>
      <x:c r="B29" s="1"/>
      <x:c r="C29" s="1" t="str">
        <x:v>2028 PP&amp;E vintage</x:v>
      </x:c>
      <x:c r="D29" s="2"/>
      <x:c r="E29" s="4" t="n">
        <x:f>IFERROR(IF(AND(-1&gt;0,-1&lt;='Assumptions'!$D$15),F$11/'Assumptions'!$D$15,0),"Incomplete")</x:f>
        <x:v>0</x:v>
      </x:c>
      <x:c r="F29" s="4" t="n">
        <x:f>IFERROR(IF(AND(0&gt;0,0&lt;='Assumptions'!$D$15),F$11/'Assumptions'!$D$15,0),"Incomplete")</x:f>
        <x:v>0</x:v>
      </x:c>
      <x:c r="G29" s="4" t="n">
        <x:f>IFERROR(IF(AND(1&gt;0,1&lt;='Assumptions'!$D$15),F$11/'Assumptions'!$D$15,0),"Incomplete")</x:f>
        <x:v>18.75</x:v>
      </x:c>
      <x:c r="H29" s="4" t="n">
        <x:f>IFERROR(IF(AND(2&gt;0,2&lt;='Assumptions'!$D$15),F$11/'Assumptions'!$D$15,0),"Incomplete")</x:f>
        <x:v>18.75</x:v>
      </x:c>
      <x:c r="I29" s="4" t="n">
        <x:f>IFERROR(IF(AND(3&gt;0,3&lt;='Assumptions'!$D$15),F$11/'Assumptions'!$D$15,0),"Incomplete")</x:f>
        <x:v>18.75</x:v>
      </x:c>
      <x:c r="J29" s="1"/>
    </x:row>
    <x:row r="30" ht="25" customHeight="1">
      <x:c r="A30" s="1"/>
      <x:c r="B30" s="1"/>
      <x:c r="C30" s="1" t="str">
        <x:v>2029 PP&amp;E vintage</x:v>
      </x:c>
      <x:c r="D30" s="2"/>
      <x:c r="E30" s="4" t="n">
        <x:f>IFERROR(IF(AND(-2&gt;0,-2&lt;='Assumptions'!$D$15),G$11/'Assumptions'!$D$15,0),"Incomplete")</x:f>
        <x:v>0</x:v>
      </x:c>
      <x:c r="F30" s="4" t="n">
        <x:f>IFERROR(IF(AND(-1&gt;0,-1&lt;='Assumptions'!$D$15),G$11/'Assumptions'!$D$15,0),"Incomplete")</x:f>
        <x:v>0</x:v>
      </x:c>
      <x:c r="G30" s="4" t="n">
        <x:f>IFERROR(IF(AND(0&gt;0,0&lt;='Assumptions'!$D$15),G$11/'Assumptions'!$D$15,0),"Incomplete")</x:f>
        <x:v>0</x:v>
      </x:c>
      <x:c r="H30" s="4" t="n">
        <x:f>IFERROR(IF(AND(1&gt;0,1&lt;='Assumptions'!$D$15),G$11/'Assumptions'!$D$15,0),"Incomplete")</x:f>
        <x:v>18.75</x:v>
      </x:c>
      <x:c r="I30" s="4" t="n">
        <x:f>IFERROR(IF(AND(2&gt;0,2&lt;='Assumptions'!$D$15),G$11/'Assumptions'!$D$15,0),"Incomplete")</x:f>
        <x:v>18.75</x:v>
      </x:c>
      <x:c r="J30" s="1"/>
    </x:row>
    <x:row r="31" ht="25" customHeight="1">
      <x:c r="A31" s="1"/>
      <x:c r="B31" s="1"/>
      <x:c r="C31" s="1" t="str">
        <x:v>2030 PP&amp;E vintage</x:v>
      </x:c>
      <x:c r="D31" s="2"/>
      <x:c r="E31" s="4" t="n">
        <x:f>IFERROR(IF(AND(-3&gt;0,-3&lt;='Assumptions'!$D$15),H$11/'Assumptions'!$D$15,0),"Incomplete")</x:f>
        <x:v>0</x:v>
      </x:c>
      <x:c r="F31" s="4" t="n">
        <x:f>IFERROR(IF(AND(-2&gt;0,-2&lt;='Assumptions'!$D$15),H$11/'Assumptions'!$D$15,0),"Incomplete")</x:f>
        <x:v>0</x:v>
      </x:c>
      <x:c r="G31" s="4" t="n">
        <x:f>IFERROR(IF(AND(-1&gt;0,-1&lt;='Assumptions'!$D$15),H$11/'Assumptions'!$D$15,0),"Incomplete")</x:f>
        <x:v>0</x:v>
      </x:c>
      <x:c r="H31" s="4" t="n">
        <x:f>IFERROR(IF(AND(0&gt;0,0&lt;='Assumptions'!$D$15),H$11/'Assumptions'!$D$15,0),"Incomplete")</x:f>
        <x:v>0</x:v>
      </x:c>
      <x:c r="I31" s="4" t="n">
        <x:f>IFERROR(IF(AND(1&gt;0,1&lt;='Assumptions'!$D$15),H$11/'Assumptions'!$D$15,0),"Incomplete")</x:f>
        <x:v>18.75</x:v>
      </x:c>
      <x:c r="J31" s="1"/>
    </x:row>
    <x:row r="32" ht="25" customHeight="1">
      <x:c r="A32" s="1"/>
      <x:c r="B32" s="1"/>
      <x:c r="C32" s="1" t="str">
        <x:v>2031 PP&amp;E vintage</x:v>
      </x:c>
      <x:c r="D32" s="2"/>
      <x:c r="E32" s="4" t="n">
        <x:f>IFERROR(IF(AND(-4&gt;0,-4&lt;='Assumptions'!$D$15),I$11/'Assumptions'!$D$15,0),"Incomplete")</x:f>
        <x:v>0</x:v>
      </x:c>
      <x:c r="F32" s="4" t="n">
        <x:f>IFERROR(IF(AND(-3&gt;0,-3&lt;='Assumptions'!$D$15),I$11/'Assumptions'!$D$15,0),"Incomplete")</x:f>
        <x:v>0</x:v>
      </x:c>
      <x:c r="G32" s="4" t="n">
        <x:f>IFERROR(IF(AND(-2&gt;0,-2&lt;='Assumptions'!$D$15),I$11/'Assumptions'!$D$15,0),"Incomplete")</x:f>
        <x:v>0</x:v>
      </x:c>
      <x:c r="H32" s="4" t="n">
        <x:f>IFERROR(IF(AND(-1&gt;0,-1&lt;='Assumptions'!$D$15),I$11/'Assumptions'!$D$15,0),"Incomplete")</x:f>
        <x:v>0</x:v>
      </x:c>
      <x:c r="I32" s="4" t="n">
        <x:f>IFERROR(IF(AND(0&gt;0,0&lt;='Assumptions'!$D$15),I$11/'Assumptions'!$D$15,0),"Incomplete")</x:f>
        <x:v>0</x:v>
      </x:c>
      <x:c r="J32" s="1"/>
    </x:row>
    <x:row r="33" ht="25" customHeight="1">
      <x:c r="A33" s="1"/>
      <x:c r="B33" s="1"/>
      <x:c r="C33" s="1"/>
      <x:c r="D33" s="2"/>
      <x:c r="E33" s="2"/>
      <x:c r="F33" s="2"/>
      <x:c r="G33" s="2"/>
      <x:c r="H33" s="2"/>
      <x:c r="I33" s="2"/>
      <x:c r="J33" s="1"/>
    </x:row>
    <x:row r="34" ht="25" customHeight="1">
      <x:c r="A34" s="1"/>
      <x:c r="B34" s="1"/>
      <x:c r="C34" s="1"/>
      <x:c r="D34" s="2"/>
      <x:c r="E34" s="2"/>
      <x:c r="F34" s="2"/>
      <x:c r="G34" s="2"/>
      <x:c r="H34" s="2"/>
      <x:c r="I34" s="2"/>
      <x:c r="J34" s="1"/>
    </x:row>
    <x:row r="35" ht="25" customHeight="1">
      <x:c r="A35" s="1"/>
      <x:c r="B35" s="1"/>
      <x:c r="C35" s="1" t="str">
        <x:v>Opening software pool amortization</x:v>
      </x:c>
      <x:c r="D35" s="2"/>
      <x:c r="E35" s="4" t="n">
        <x:f>IFERROR(IF(1&lt;='Assumptions'!$D$16,'History'!$F$30/'Assumptions'!$D$16,0),"Incomplete")</x:f>
        <x:v>16</x:v>
      </x:c>
      <x:c r="F35" s="4" t="n">
        <x:f>IFERROR(IF(2&lt;='Assumptions'!$D$16,'History'!$F$30/'Assumptions'!$D$16,0),"Incomplete")</x:f>
        <x:v>16</x:v>
      </x:c>
      <x:c r="G35" s="4" t="n">
        <x:f>IFERROR(IF(3&lt;='Assumptions'!$D$16,'History'!$F$30/'Assumptions'!$D$16,0),"Incomplete")</x:f>
        <x:v>16</x:v>
      </x:c>
      <x:c r="H35" s="4" t="n">
        <x:f>IFERROR(IF(4&lt;='Assumptions'!$D$16,'History'!$F$30/'Assumptions'!$D$16,0),"Incomplete")</x:f>
        <x:v>0</x:v>
      </x:c>
      <x:c r="I35" s="4" t="n">
        <x:f>IFERROR(IF(5&lt;='Assumptions'!$D$16,'History'!$F$30/'Assumptions'!$D$16,0),"Incomplete")</x:f>
        <x:v>0</x:v>
      </x:c>
      <x:c r="J35" s="1"/>
    </x:row>
    <x:row r="36" ht="25" customHeight="1">
      <x:c r="A36" s="1"/>
      <x:c r="B36" s="1"/>
      <x:c r="C36" s="1" t="str">
        <x:v>2027 software vintage</x:v>
      </x:c>
      <x:c r="D36" s="2"/>
      <x:c r="E36" s="4" t="n">
        <x:f>IFERROR(IF(AND(0&gt;0,0&lt;='Assumptions'!$D$16),E$19/'Assumptions'!$D$16,0),"Incomplete")</x:f>
        <x:v>0</x:v>
      </x:c>
      <x:c r="F36" s="4" t="n">
        <x:f>IFERROR(IF(AND(1&gt;0,1&lt;='Assumptions'!$D$16),E$19/'Assumptions'!$D$16,0),"Incomplete")</x:f>
        <x:v>3</x:v>
      </x:c>
      <x:c r="G36" s="4" t="n">
        <x:f>IFERROR(IF(AND(2&gt;0,2&lt;='Assumptions'!$D$16),E$19/'Assumptions'!$D$16,0),"Incomplete")</x:f>
        <x:v>3</x:v>
      </x:c>
      <x:c r="H36" s="4" t="n">
        <x:f>IFERROR(IF(AND(3&gt;0,3&lt;='Assumptions'!$D$16),E$19/'Assumptions'!$D$16,0),"Incomplete")</x:f>
        <x:v>3</x:v>
      </x:c>
      <x:c r="I36" s="4" t="n">
        <x:f>IFERROR(IF(AND(4&gt;0,4&lt;='Assumptions'!$D$16),E$19/'Assumptions'!$D$16,0),"Incomplete")</x:f>
        <x:v>0</x:v>
      </x:c>
      <x:c r="J36" s="1"/>
    </x:row>
    <x:row r="37" ht="25" customHeight="1">
      <x:c r="A37" s="1"/>
      <x:c r="B37" s="1"/>
      <x:c r="C37" s="1" t="str">
        <x:v>2028 software vintage</x:v>
      </x:c>
      <x:c r="D37" s="2"/>
      <x:c r="E37" s="4" t="n">
        <x:f>IFERROR(IF(AND(-1&gt;0,-1&lt;='Assumptions'!$D$16),F$19/'Assumptions'!$D$16,0),"Incomplete")</x:f>
        <x:v>0</x:v>
      </x:c>
      <x:c r="F37" s="4" t="n">
        <x:f>IFERROR(IF(AND(0&gt;0,0&lt;='Assumptions'!$D$16),F$19/'Assumptions'!$D$16,0),"Incomplete")</x:f>
        <x:v>0</x:v>
      </x:c>
      <x:c r="G37" s="4" t="n">
        <x:f>IFERROR(IF(AND(1&gt;0,1&lt;='Assumptions'!$D$16),F$19/'Assumptions'!$D$16,0),"Incomplete")</x:f>
        <x:v>3</x:v>
      </x:c>
      <x:c r="H37" s="4" t="n">
        <x:f>IFERROR(IF(AND(2&gt;0,2&lt;='Assumptions'!$D$16),F$19/'Assumptions'!$D$16,0),"Incomplete")</x:f>
        <x:v>3</x:v>
      </x:c>
      <x:c r="I37" s="4" t="n">
        <x:f>IFERROR(IF(AND(3&gt;0,3&lt;='Assumptions'!$D$16),F$19/'Assumptions'!$D$16,0),"Incomplete")</x:f>
        <x:v>3</x:v>
      </x:c>
      <x:c r="J37" s="1"/>
    </x:row>
    <x:row r="38" ht="25" customHeight="1">
      <x:c r="A38" s="1"/>
      <x:c r="B38" s="1"/>
      <x:c r="C38" s="1" t="str">
        <x:v>2029 software vintage</x:v>
      </x:c>
      <x:c r="D38" s="2"/>
      <x:c r="E38" s="4" t="n">
        <x:f>IFERROR(IF(AND(-2&gt;0,-2&lt;='Assumptions'!$D$16),G$19/'Assumptions'!$D$16,0),"Incomplete")</x:f>
        <x:v>0</x:v>
      </x:c>
      <x:c r="F38" s="4" t="n">
        <x:f>IFERROR(IF(AND(-1&gt;0,-1&lt;='Assumptions'!$D$16),G$19/'Assumptions'!$D$16,0),"Incomplete")</x:f>
        <x:v>0</x:v>
      </x:c>
      <x:c r="G38" s="4" t="n">
        <x:f>IFERROR(IF(AND(0&gt;0,0&lt;='Assumptions'!$D$16),G$19/'Assumptions'!$D$16,0),"Incomplete")</x:f>
        <x:v>0</x:v>
      </x:c>
      <x:c r="H38" s="4" t="n">
        <x:f>IFERROR(IF(AND(1&gt;0,1&lt;='Assumptions'!$D$16),G$19/'Assumptions'!$D$16,0),"Incomplete")</x:f>
        <x:v>3</x:v>
      </x:c>
      <x:c r="I38" s="4" t="n">
        <x:f>IFERROR(IF(AND(2&gt;0,2&lt;='Assumptions'!$D$16),G$19/'Assumptions'!$D$16,0),"Incomplete")</x:f>
        <x:v>3</x:v>
      </x:c>
      <x:c r="J38" s="1"/>
    </x:row>
    <x:row r="39" ht="25" customHeight="1">
      <x:c r="A39" s="1"/>
      <x:c r="B39" s="1"/>
      <x:c r="C39" s="1" t="str">
        <x:v>2030 software vintage</x:v>
      </x:c>
      <x:c r="D39" s="2"/>
      <x:c r="E39" s="4" t="n">
        <x:f>IFERROR(IF(AND(-3&gt;0,-3&lt;='Assumptions'!$D$16),H$19/'Assumptions'!$D$16,0),"Incomplete")</x:f>
        <x:v>0</x:v>
      </x:c>
      <x:c r="F39" s="4" t="n">
        <x:f>IFERROR(IF(AND(-2&gt;0,-2&lt;='Assumptions'!$D$16),H$19/'Assumptions'!$D$16,0),"Incomplete")</x:f>
        <x:v>0</x:v>
      </x:c>
      <x:c r="G39" s="4" t="n">
        <x:f>IFERROR(IF(AND(-1&gt;0,-1&lt;='Assumptions'!$D$16),H$19/'Assumptions'!$D$16,0),"Incomplete")</x:f>
        <x:v>0</x:v>
      </x:c>
      <x:c r="H39" s="4" t="n">
        <x:f>IFERROR(IF(AND(0&gt;0,0&lt;='Assumptions'!$D$16),H$19/'Assumptions'!$D$16,0),"Incomplete")</x:f>
        <x:v>0</x:v>
      </x:c>
      <x:c r="I39" s="4" t="n">
        <x:f>IFERROR(IF(AND(1&gt;0,1&lt;='Assumptions'!$D$16),H$19/'Assumptions'!$D$16,0),"Incomplete")</x:f>
        <x:v>3</x:v>
      </x:c>
      <x:c r="J39" s="1"/>
    </x:row>
    <x:row r="40" ht="25" customHeight="1">
      <x:c r="A40" s="1"/>
      <x:c r="B40" s="1"/>
      <x:c r="C40" s="1" t="str">
        <x:v>2031 software vintage</x:v>
      </x:c>
      <x:c r="D40" s="2"/>
      <x:c r="E40" s="4" t="n">
        <x:f>IFERROR(IF(AND(-4&gt;0,-4&lt;='Assumptions'!$D$16),I$19/'Assumptions'!$D$16,0),"Incomplete")</x:f>
        <x:v>0</x:v>
      </x:c>
      <x:c r="F40" s="4" t="n">
        <x:f>IFERROR(IF(AND(-3&gt;0,-3&lt;='Assumptions'!$D$16),I$19/'Assumptions'!$D$16,0),"Incomplete")</x:f>
        <x:v>0</x:v>
      </x:c>
      <x:c r="G40" s="4" t="n">
        <x:f>IFERROR(IF(AND(-2&gt;0,-2&lt;='Assumptions'!$D$16),I$19/'Assumptions'!$D$16,0),"Incomplete")</x:f>
        <x:v>0</x:v>
      </x:c>
      <x:c r="H40" s="4" t="n">
        <x:f>IFERROR(IF(AND(-1&gt;0,-1&lt;='Assumptions'!$D$16),I$19/'Assumptions'!$D$16,0),"Incomplete")</x:f>
        <x:v>0</x:v>
      </x:c>
      <x:c r="I40" s="4" t="n">
        <x:f>IFERROR(IF(AND(0&gt;0,0&lt;='Assumptions'!$D$16),I$19/'Assumptions'!$D$16,0),"Incomplete")</x:f>
        <x:v>0</x:v>
      </x:c>
      <x:c r="J40" s="1"/>
    </x:row>
    <x:row r="41" ht="25" customHeight="1">
      <x:c r="A41" s="1"/>
      <x:c r="B41" s="1"/>
      <x:c r="C41" s="1"/>
      <x:c r="D41" s="2"/>
      <x:c r="E41" s="2"/>
      <x:c r="F41" s="2"/>
      <x:c r="G41" s="2"/>
      <x:c r="H41" s="2"/>
      <x:c r="I41" s="2"/>
      <x:c r="J41" s="1"/>
    </x:row>
    <x:row r="42" ht="25" customHeight="1">
      <x:c r="A42" s="1"/>
      <x:c r="B42" s="1"/>
      <x:c r="C42" s="1"/>
      <x:c r="D42" s="2"/>
      <x:c r="E42" s="2"/>
      <x:c r="F42" s="2"/>
      <x:c r="G42" s="2"/>
      <x:c r="H42" s="2"/>
      <x:c r="I42" s="2"/>
      <x:c r="J42" s="1"/>
    </x:row>
    <x:row r="43" ht="25" customHeight="1">
      <x:c r="A43" s="1"/>
      <x:c r="B43" s="1"/>
      <x:c r="C43" s="1"/>
      <x:c r="D43" s="2"/>
      <x:c r="E43" s="2"/>
      <x:c r="F43" s="2"/>
      <x:c r="G43" s="2"/>
      <x:c r="H43" s="2"/>
      <x:c r="I43" s="2"/>
      <x:c r="J43" s="1"/>
    </x:row>
    <x:row r="44" ht="25" customHeight="1">
      <x:c r="A44" s="1"/>
      <x:c r="B44" s="1"/>
      <x:c r="C44" s="1"/>
      <x:c r="D44" s="2"/>
      <x:c r="E44" s="2"/>
      <x:c r="F44" s="2"/>
      <x:c r="G44" s="2"/>
      <x:c r="H44" s="2"/>
      <x:c r="I44" s="2"/>
      <x:c r="J44" s="1"/>
    </x:row>
    <x:row r="45" ht="25" customHeight="1">
      <x:c r="A45" s="1"/>
      <x:c r="B45" s="1"/>
      <x:c r="C45" s="1"/>
      <x:c r="D45" s="2"/>
      <x:c r="E45" s="2"/>
      <x:c r="F45" s="2"/>
      <x:c r="G45" s="2"/>
      <x:c r="H45" s="2"/>
      <x:c r="I45" s="2"/>
      <x:c r="J45" s="1"/>
    </x:row>
    <x:row r="46" ht="25" customHeight="1">
      <x:c r="A46" s="1"/>
      <x:c r="B46" s="1"/>
      <x:c r="C46" s="1"/>
      <x:c r="D46" s="2"/>
      <x:c r="E46" s="2"/>
      <x:c r="F46" s="2"/>
      <x:c r="G46" s="2"/>
      <x:c r="H46" s="2"/>
      <x:c r="I46" s="2"/>
      <x:c r="J46" s="1"/>
    </x:row>
    <x:row r="47" ht="25" customHeight="1">
      <x:c r="A47" s="1"/>
      <x:c r="B47" s="1"/>
      <x:c r="C47" s="1"/>
      <x:c r="D47" s="2"/>
      <x:c r="E47" s="2"/>
      <x:c r="F47" s="2"/>
      <x:c r="G47" s="2"/>
      <x:c r="H47" s="2"/>
      <x:c r="I47" s="2"/>
      <x:c r="J47" s="1"/>
    </x:row>
    <x:row r="48" ht="25" customHeight="1">
      <x:c r="A48" s="1"/>
      <x:c r="B48" s="1"/>
      <x:c r="C48" s="1"/>
      <x:c r="D48" s="2"/>
      <x:c r="E48" s="2"/>
      <x:c r="F48" s="2"/>
      <x:c r="G48" s="2"/>
      <x:c r="H48" s="2"/>
      <x:c r="I48" s="2"/>
      <x:c r="J48" s="1"/>
    </x:row>
    <x:row r="49" ht="25" customHeight="1">
      <x:c r="A49" s="1"/>
      <x:c r="B49" s="1"/>
      <x:c r="C49" s="1"/>
      <x:c r="D49" s="2"/>
      <x:c r="E49" s="2"/>
      <x:c r="F49" s="2"/>
      <x:c r="G49" s="2"/>
      <x:c r="H49" s="2"/>
      <x:c r="I49" s="2"/>
      <x:c r="J49" s="1"/>
    </x:row>
    <x:row r="50" ht="25" customHeight="1">
      <x:c r="A50" s="1"/>
      <x:c r="B50" s="1"/>
      <x:c r="C50" s="1"/>
      <x:c r="D50" s="2"/>
      <x:c r="E50" s="2"/>
      <x:c r="F50" s="2"/>
      <x:c r="G50" s="2"/>
      <x:c r="H50" s="2"/>
      <x:c r="I50" s="2"/>
      <x:c r="J50" s="1"/>
    </x:row>
    <x:row r="51" ht="25" customHeight="1">
      <x:c r="A51" s="1"/>
      <x:c r="B51" s="1"/>
      <x:c r="C51" s="1"/>
      <x:c r="D51" s="2"/>
      <x:c r="E51" s="2"/>
      <x:c r="F51" s="2"/>
      <x:c r="G51" s="2"/>
      <x:c r="H51" s="2"/>
      <x:c r="I51" s="2"/>
      <x:c r="J51" s="1"/>
    </x:row>
    <x:row r="52" ht="25" customHeight="1">
      <x:c r="A52" s="1"/>
      <x:c r="B52" s="1"/>
      <x:c r="C52" s="1"/>
      <x:c r="D52" s="2"/>
      <x:c r="E52" s="2"/>
      <x:c r="F52" s="2"/>
      <x:c r="G52" s="2"/>
      <x:c r="H52" s="2"/>
      <x:c r="I52" s="2"/>
      <x:c r="J52" s="1"/>
    </x:row>
    <x:row r="53" ht="25" customHeight="1">
      <x:c r="A53" s="1"/>
      <x:c r="B53" s="1"/>
      <x:c r="C53" s="1"/>
      <x:c r="D53" s="2"/>
      <x:c r="E53" s="2"/>
      <x:c r="F53" s="2"/>
      <x:c r="G53" s="2"/>
      <x:c r="H53" s="2"/>
      <x:c r="I53" s="2"/>
      <x:c r="J53" s="1"/>
    </x:row>
    <x:row r="54" ht="25" customHeight="1">
      <x:c r="A54" s="1"/>
      <x:c r="B54" s="1"/>
      <x:c r="C54" s="1"/>
      <x:c r="D54" s="2"/>
      <x:c r="E54" s="2"/>
      <x:c r="F54" s="2"/>
      <x:c r="G54" s="2"/>
      <x:c r="H54" s="2"/>
      <x:c r="I54" s="2"/>
      <x:c r="J54" s="1"/>
    </x:row>
    <x:row r="55" ht="25" customHeight="1">
      <x:c r="A55" s="1"/>
      <x:c r="B55" s="1"/>
      <x:c r="C55" s="1"/>
      <x:c r="D55" s="2"/>
      <x:c r="E55" s="2"/>
      <x:c r="F55" s="2"/>
      <x:c r="G55" s="2"/>
      <x:c r="H55" s="2"/>
      <x:c r="I55" s="2"/>
      <x:c r="J55" s="1"/>
    </x:row>
    <x:row r="56" ht="25" customHeight="1">
      <x:c r="A56" s="1"/>
      <x:c r="B56" s="1"/>
      <x:c r="C56" s="1"/>
      <x:c r="D56" s="2"/>
      <x:c r="E56" s="2"/>
      <x:c r="F56" s="2"/>
      <x:c r="G56" s="2"/>
      <x:c r="H56" s="2"/>
      <x:c r="I56" s="2"/>
      <x:c r="J56" s="1"/>
    </x:row>
    <x:row r="57" ht="25" customHeight="1">
      <x:c r="A57" s="1"/>
      <x:c r="B57" s="1"/>
      <x:c r="C57" s="1"/>
      <x:c r="D57" s="2"/>
      <x:c r="E57" s="2"/>
      <x:c r="F57" s="2"/>
      <x:c r="G57" s="2"/>
      <x:c r="H57" s="2"/>
      <x:c r="I57" s="2"/>
      <x:c r="J57" s="1"/>
    </x:row>
    <x:row r="58" ht="25" customHeight="1">
      <x:c r="A58" s="1"/>
      <x:c r="B58" s="1"/>
      <x:c r="C58" s="1"/>
      <x:c r="D58" s="2"/>
      <x:c r="E58" s="2"/>
      <x:c r="F58" s="2"/>
      <x:c r="G58" s="2"/>
      <x:c r="H58" s="2"/>
      <x:c r="I58" s="2"/>
      <x:c r="J58" s="1"/>
    </x:row>
    <x:row r="59" ht="25" customHeight="1">
      <x:c r="A59" s="1"/>
      <x:c r="B59" s="1"/>
      <x:c r="C59" s="1"/>
      <x:c r="D59" s="2"/>
      <x:c r="E59" s="2"/>
      <x:c r="F59" s="2"/>
      <x:c r="G59" s="2"/>
      <x:c r="H59" s="2"/>
      <x:c r="I59" s="2"/>
      <x:c r="J59" s="1"/>
    </x:row>
    <x:row r="60" ht="25" customHeight="1">
      <x:c r="A60" s="1"/>
      <x:c r="B60" s="1"/>
      <x:c r="C60" s="1"/>
      <x:c r="D60" s="2"/>
      <x:c r="E60" s="2"/>
      <x:c r="F60" s="2"/>
      <x:c r="G60" s="2"/>
      <x:c r="H60" s="2"/>
      <x:c r="I60" s="2"/>
      <x:c r="J60" s="1"/>
    </x:row>
    <x:row r="61" ht="25" customHeight="1">
      <x:c r="A61" s="1"/>
      <x:c r="B61" s="1"/>
      <x:c r="C61" s="1"/>
      <x:c r="D61" s="2"/>
      <x:c r="E61" s="2"/>
      <x:c r="F61" s="2"/>
      <x:c r="G61" s="2"/>
      <x:c r="H61" s="2"/>
      <x:c r="I61" s="2"/>
      <x:c r="J61" s="1"/>
    </x:row>
    <x:row r="62" ht="25" customHeight="1">
      <x:c r="A62" s="1"/>
      <x:c r="B62" s="1"/>
      <x:c r="C62" s="1"/>
      <x:c r="D62" s="2"/>
      <x:c r="E62" s="2"/>
      <x:c r="F62" s="2"/>
      <x:c r="G62" s="2"/>
      <x:c r="H62" s="2"/>
      <x:c r="I62" s="2"/>
      <x:c r="J62" s="1"/>
    </x:row>
    <x:row r="63" ht="25" customHeight="1">
      <x:c r="A63" s="1"/>
      <x:c r="B63" s="1"/>
      <x:c r="C63" s="1"/>
      <x:c r="D63" s="2"/>
      <x:c r="E63" s="2"/>
      <x:c r="F63" s="2"/>
      <x:c r="G63" s="2"/>
      <x:c r="H63" s="2"/>
      <x:c r="I63" s="2"/>
      <x:c r="J63" s="1"/>
    </x:row>
    <x:row r="64" ht="25" customHeight="1">
      <x:c r="A64" s="1"/>
      <x:c r="B64" s="1"/>
      <x:c r="C64" s="1"/>
      <x:c r="D64" s="2"/>
      <x:c r="E64" s="2"/>
      <x:c r="F64" s="2"/>
      <x:c r="G64" s="2"/>
      <x:c r="H64" s="2"/>
      <x:c r="I64" s="2"/>
      <x:c r="J64" s="1"/>
    </x:row>
    <x:row r="65" ht="25" customHeight="1">
      <x:c r="A65" s="1"/>
      <x:c r="B65" s="1"/>
      <x:c r="C65" s="1"/>
      <x:c r="D65" s="2"/>
      <x:c r="E65" s="2"/>
      <x:c r="F65" s="2"/>
      <x:c r="G65" s="2"/>
      <x:c r="H65" s="2"/>
      <x:c r="I65" s="2"/>
      <x:c r="J65" s="1"/>
    </x:row>
    <x:row r="66" ht="25" customHeight="1">
      <x:c r="A66" s="1"/>
      <x:c r="B66" s="1"/>
      <x:c r="C66" s="1"/>
      <x:c r="D66" s="2"/>
      <x:c r="E66" s="2"/>
      <x:c r="F66" s="2"/>
      <x:c r="G66" s="2"/>
      <x:c r="H66" s="2"/>
      <x:c r="I66" s="2"/>
      <x:c r="J66" s="1"/>
    </x:row>
    <x:row r="67" ht="25" customHeight="1">
      <x:c r="A67" s="1"/>
      <x:c r="B67" s="1"/>
      <x:c r="C67" s="1"/>
      <x:c r="D67" s="2"/>
      <x:c r="E67" s="2"/>
      <x:c r="F67" s="2"/>
      <x:c r="G67" s="2"/>
      <x:c r="H67" s="2"/>
      <x:c r="I67" s="2"/>
      <x:c r="J67" s="1"/>
    </x:row>
    <x:row r="68" ht="25" customHeight="1">
      <x:c r="A68" s="1"/>
      <x:c r="B68" s="1"/>
      <x:c r="C68" s="1"/>
      <x:c r="D68" s="2"/>
      <x:c r="E68" s="2"/>
      <x:c r="F68" s="2"/>
      <x:c r="G68" s="2"/>
      <x:c r="H68" s="2"/>
      <x:c r="I68" s="2"/>
      <x:c r="J68" s="1"/>
    </x:row>
    <x:row r="69" ht="25" customHeight="1">
      <x:c r="A69" s="1"/>
      <x:c r="B69" s="1"/>
      <x:c r="C69" s="1"/>
      <x:c r="D69" s="2"/>
      <x:c r="E69" s="2"/>
      <x:c r="F69" s="2"/>
      <x:c r="G69" s="2"/>
      <x:c r="H69" s="2"/>
      <x:c r="I69" s="2"/>
      <x:c r="J69" s="1"/>
    </x:row>
    <x:row r="70" ht="25" customHeight="1">
      <x:c r="A70" s="1"/>
      <x:c r="B70" s="1"/>
      <x:c r="C70" s="1"/>
      <x:c r="D70" s="2"/>
      <x:c r="E70" s="2"/>
      <x:c r="F70" s="2"/>
      <x:c r="G70" s="2"/>
      <x:c r="H70" s="2"/>
      <x:c r="I70" s="2"/>
      <x:c r="J70" s="1"/>
    </x:row>
    <x:row r="71" ht="25" customHeight="1">
      <x:c r="A71" s="1"/>
      <x:c r="B71" s="1"/>
      <x:c r="C71" s="1"/>
      <x:c r="D71" s="2"/>
      <x:c r="E71" s="2"/>
      <x:c r="F71" s="2"/>
      <x:c r="G71" s="2"/>
      <x:c r="H71" s="2"/>
      <x:c r="I71" s="2"/>
      <x:c r="J71" s="1"/>
    </x:row>
    <x:row r="72" ht="25" customHeight="1">
      <x:c r="A72" s="1"/>
      <x:c r="B72" s="1"/>
      <x:c r="C72" s="1"/>
      <x:c r="D72" s="2"/>
      <x:c r="E72" s="2"/>
      <x:c r="F72" s="2"/>
      <x:c r="G72" s="2"/>
      <x:c r="H72" s="2"/>
      <x:c r="I72" s="2"/>
      <x:c r="J72" s="1"/>
    </x:row>
    <x:row r="73" ht="25" customHeight="1">
      <x:c r="A73" s="1"/>
      <x:c r="B73" s="1"/>
      <x:c r="C73" s="1"/>
      <x:c r="D73" s="2"/>
      <x:c r="E73" s="2"/>
      <x:c r="F73" s="2"/>
      <x:c r="G73" s="2"/>
      <x:c r="H73" s="2"/>
      <x:c r="I73" s="2"/>
      <x:c r="J73" s="1"/>
    </x:row>
    <x:row r="74" ht="25" customHeight="1">
      <x:c r="A74" s="1"/>
      <x:c r="B74" s="1"/>
      <x:c r="C74" s="1"/>
      <x:c r="D74" s="2"/>
      <x:c r="E74" s="2"/>
      <x:c r="F74" s="2"/>
      <x:c r="G74" s="2"/>
      <x:c r="H74" s="2"/>
      <x:c r="I74" s="2"/>
      <x:c r="J74" s="1"/>
    </x:row>
    <x:row r="75" ht="25" customHeight="1">
      <x:c r="A75" s="1"/>
      <x:c r="B75" s="1"/>
      <x:c r="C75" s="1"/>
      <x:c r="D75" s="2"/>
      <x:c r="E75" s="2"/>
      <x:c r="F75" s="2"/>
      <x:c r="G75" s="2"/>
      <x:c r="H75" s="2"/>
      <x:c r="I75" s="2"/>
      <x:c r="J75" s="1"/>
    </x:row>
    <x:row r="76" ht="25" customHeight="1">
      <x:c r="A76" s="1"/>
      <x:c r="B76" s="1"/>
      <x:c r="C76" s="1"/>
      <x:c r="D76" s="2"/>
      <x:c r="E76" s="2"/>
      <x:c r="F76" s="2"/>
      <x:c r="G76" s="2"/>
      <x:c r="H76" s="2"/>
      <x:c r="I76" s="2"/>
      <x:c r="J76" s="1"/>
    </x:row>
    <x:row r="77" ht="25" customHeight="1">
      <x:c r="A77" s="1"/>
      <x:c r="B77" s="1"/>
      <x:c r="C77" s="1"/>
      <x:c r="D77" s="2"/>
      <x:c r="E77" s="2"/>
      <x:c r="F77" s="2"/>
      <x:c r="G77" s="2"/>
      <x:c r="H77" s="2"/>
      <x:c r="I77" s="2"/>
      <x:c r="J77" s="1"/>
    </x:row>
    <x:row r="78" ht="25" customHeight="1">
      <x:c r="A78" s="1"/>
      <x:c r="B78" s="1"/>
      <x:c r="C78" s="1"/>
      <x:c r="D78" s="2"/>
      <x:c r="E78" s="2"/>
      <x:c r="F78" s="2"/>
      <x:c r="G78" s="2"/>
      <x:c r="H78" s="2"/>
      <x:c r="I78" s="2"/>
      <x:c r="J78" s="1"/>
    </x:row>
    <x:row r="79" ht="25" customHeight="1">
      <x:c r="A79" s="1"/>
      <x:c r="B79" s="1"/>
      <x:c r="C79" s="1"/>
      <x:c r="D79" s="2"/>
      <x:c r="E79" s="2"/>
      <x:c r="F79" s="2"/>
      <x:c r="G79" s="2"/>
      <x:c r="H79" s="2"/>
      <x:c r="I79" s="2"/>
      <x:c r="J79" s="1"/>
    </x:row>
    <x:row r="80" ht="25" customHeight="1">
      <x:c r="A80" s="1"/>
      <x:c r="B80" s="1"/>
      <x:c r="C80" s="1"/>
      <x:c r="D80" s="2"/>
      <x:c r="E80" s="2"/>
      <x:c r="F80" s="2"/>
      <x:c r="G80" s="2"/>
      <x:c r="H80" s="2"/>
      <x:c r="I80" s="2"/>
      <x:c r="J80" s="1"/>
    </x:row>
    <x:row r="81" ht="25" customHeight="1">
      <x:c r="A81" s="1"/>
      <x:c r="B81" s="1"/>
      <x:c r="C81" s="1"/>
      <x:c r="D81" s="2"/>
      <x:c r="E81" s="2"/>
      <x:c r="F81" s="2"/>
      <x:c r="G81" s="2"/>
      <x:c r="H81" s="2"/>
      <x:c r="I81" s="2"/>
      <x:c r="J81" s="1"/>
    </x:row>
    <x:row r="82" ht="25" customHeight="1">
      <x:c r="A82" s="1"/>
      <x:c r="B82" s="1"/>
      <x:c r="C82" s="1"/>
      <x:c r="D82" s="2"/>
      <x:c r="E82" s="2"/>
      <x:c r="F82" s="2"/>
      <x:c r="G82" s="2"/>
      <x:c r="H82" s="2"/>
      <x:c r="I82" s="2"/>
      <x:c r="J82" s="1"/>
    </x:row>
    <x:row r="83" ht="25" customHeight="1">
      <x:c r="A83" s="1"/>
      <x:c r="B83" s="1"/>
      <x:c r="C83" s="1"/>
      <x:c r="D83" s="2"/>
      <x:c r="E83" s="2"/>
      <x:c r="F83" s="2"/>
      <x:c r="G83" s="2"/>
      <x:c r="H83" s="2"/>
      <x:c r="I83" s="2"/>
      <x:c r="J83" s="1"/>
    </x:row>
    <x:row r="84" ht="25" customHeight="1">
      <x:c r="A84" s="1"/>
      <x:c r="B84" s="1"/>
      <x:c r="C84" s="1"/>
      <x:c r="D84" s="2"/>
      <x:c r="E84" s="2"/>
      <x:c r="F84" s="2"/>
      <x:c r="G84" s="2"/>
      <x:c r="H84" s="2"/>
      <x:c r="I84" s="2"/>
      <x:c r="J84" s="1"/>
    </x:row>
    <x:row r="85" ht="25" customHeight="1">
      <x:c r="A85" s="1"/>
      <x:c r="B85" s="1"/>
      <x:c r="C85" s="1"/>
      <x:c r="D85" s="2"/>
      <x:c r="E85" s="2"/>
      <x:c r="F85" s="2"/>
      <x:c r="G85" s="2"/>
      <x:c r="H85" s="2"/>
      <x:c r="I85" s="2"/>
      <x:c r="J85" s="1"/>
    </x:row>
    <x:row r="86" ht="25" customHeight="1">
      <x:c r="A86" s="1"/>
      <x:c r="B86" s="1"/>
      <x:c r="C86" s="1"/>
      <x:c r="D86" s="2"/>
      <x:c r="E86" s="2"/>
      <x:c r="F86" s="2"/>
      <x:c r="G86" s="2"/>
      <x:c r="H86" s="2"/>
      <x:c r="I86" s="2"/>
      <x:c r="J86" s="1"/>
    </x:row>
    <x:row r="87" ht="25" customHeight="1">
      <x:c r="A87" s="1"/>
      <x:c r="B87" s="1"/>
      <x:c r="C87" s="1"/>
      <x:c r="D87" s="2"/>
      <x:c r="E87" s="2"/>
      <x:c r="F87" s="2"/>
      <x:c r="G87" s="2"/>
      <x:c r="H87" s="2"/>
      <x:c r="I87" s="2"/>
      <x:c r="J87" s="1"/>
    </x:row>
    <x:row r="88" ht="25" customHeight="1">
      <x:c r="A88" s="1"/>
      <x:c r="B88" s="1"/>
      <x:c r="C88" s="1"/>
      <x:c r="D88" s="2"/>
      <x:c r="E88" s="2"/>
      <x:c r="F88" s="2"/>
      <x:c r="G88" s="2"/>
      <x:c r="H88" s="2"/>
      <x:c r="I88" s="2"/>
      <x:c r="J88" s="1"/>
    </x:row>
    <x:row r="89" ht="25" customHeight="1">
      <x:c r="A89" s="1"/>
      <x:c r="B89" s="1"/>
      <x:c r="C89" s="1"/>
      <x:c r="D89" s="2"/>
      <x:c r="E89" s="2"/>
      <x:c r="F89" s="2"/>
      <x:c r="G89" s="2"/>
      <x:c r="H89" s="2"/>
      <x:c r="I89" s="2"/>
      <x:c r="J89" s="1"/>
    </x:row>
    <x:row r="90" ht="25" customHeight="1">
      <x:c r="A90" s="1"/>
      <x:c r="B90" s="1"/>
      <x:c r="C90" s="1"/>
      <x:c r="D90" s="2"/>
      <x:c r="E90" s="2"/>
      <x:c r="F90" s="2"/>
      <x:c r="G90" s="2"/>
      <x:c r="H90" s="2"/>
      <x:c r="I90" s="2"/>
      <x:c r="J90" s="1"/>
    </x:row>
    <x:row r="91" ht="25" customHeight="1">
      <x:c r="A91" s="1"/>
      <x:c r="B91" s="1"/>
      <x:c r="C91" s="1"/>
      <x:c r="D91" s="2"/>
      <x:c r="E91" s="2"/>
      <x:c r="F91" s="2"/>
      <x:c r="G91" s="2"/>
      <x:c r="H91" s="2"/>
      <x:c r="I91" s="2"/>
      <x:c r="J91" s="1"/>
    </x:row>
    <x:row r="92" ht="25" customHeight="1">
      <x:c r="A92" s="1"/>
      <x:c r="B92" s="1"/>
      <x:c r="C92" s="1"/>
      <x:c r="D92" s="2"/>
      <x:c r="E92" s="2"/>
      <x:c r="F92" s="2"/>
      <x:c r="G92" s="2"/>
      <x:c r="H92" s="2"/>
      <x:c r="I92" s="2"/>
      <x:c r="J92" s="1"/>
    </x:row>
    <x:row r="93" ht="25" customHeight="1">
      <x:c r="A93" s="1"/>
      <x:c r="B93" s="1"/>
      <x:c r="C93" s="1"/>
      <x:c r="D93" s="2"/>
      <x:c r="E93" s="2"/>
      <x:c r="F93" s="2"/>
      <x:c r="G93" s="2"/>
      <x:c r="H93" s="2"/>
      <x:c r="I93" s="2"/>
      <x:c r="J93" s="1"/>
    </x:row>
    <x:row r="94" ht="25" customHeight="1">
      <x:c r="A94" s="1"/>
      <x:c r="B94" s="1"/>
      <x:c r="C94" s="1"/>
      <x:c r="D94" s="2"/>
      <x:c r="E94" s="2"/>
      <x:c r="F94" s="2"/>
      <x:c r="G94" s="2"/>
      <x:c r="H94" s="2"/>
      <x:c r="I94" s="2"/>
      <x:c r="J94" s="1"/>
    </x:row>
    <x:row r="95" ht="25" customHeight="1">
      <x:c r="A95" s="1"/>
      <x:c r="B95" s="1"/>
      <x:c r="C95" s="1"/>
      <x:c r="D95" s="2"/>
      <x:c r="E95" s="2"/>
      <x:c r="F95" s="2"/>
      <x:c r="G95" s="2"/>
      <x:c r="H95" s="2"/>
      <x:c r="I95" s="2"/>
      <x:c r="J95" s="1"/>
    </x:row>
    <x:row r="96" ht="25" customHeight="1">
      <x:c r="A96" s="1"/>
      <x:c r="B96" s="1"/>
      <x:c r="C96" s="1"/>
      <x:c r="D96" s="2"/>
      <x:c r="E96" s="2"/>
      <x:c r="F96" s="2"/>
      <x:c r="G96" s="2"/>
      <x:c r="H96" s="2"/>
      <x:c r="I96" s="2"/>
      <x:c r="J96" s="1"/>
    </x:row>
    <x:row r="97" ht="25" customHeight="1">
      <x:c r="A97" s="1"/>
      <x:c r="B97" s="1"/>
      <x:c r="C97" s="1"/>
      <x:c r="D97" s="2"/>
      <x:c r="E97" s="2"/>
      <x:c r="F97" s="2"/>
      <x:c r="G97" s="2"/>
      <x:c r="H97" s="2"/>
      <x:c r="I97" s="2"/>
      <x:c r="J97" s="1"/>
    </x:row>
    <x:row r="98" ht="25" customHeight="1">
      <x:c r="A98" s="1"/>
      <x:c r="B98" s="1"/>
      <x:c r="C98" s="1"/>
      <x:c r="D98" s="2"/>
      <x:c r="E98" s="2"/>
      <x:c r="F98" s="2"/>
      <x:c r="G98" s="2"/>
      <x:c r="H98" s="2"/>
      <x:c r="I98" s="2"/>
      <x:c r="J98" s="1"/>
    </x:row>
    <x:row r="99" ht="25" customHeight="1">
      <x:c r="A99" s="1"/>
      <x:c r="B99" s="1"/>
      <x:c r="C99" s="1"/>
      <x:c r="D99" s="2"/>
      <x:c r="E99" s="2"/>
      <x:c r="F99" s="2"/>
      <x:c r="G99" s="2"/>
      <x:c r="H99" s="2"/>
      <x:c r="I99" s="2"/>
      <x:c r="J99" s="1"/>
    </x:row>
    <x:row r="100" ht="25" customHeight="1">
      <x:c r="A100" s="1"/>
      <x:c r="B100" s="1"/>
      <x:c r="C100" s="1"/>
      <x:c r="D100" s="2"/>
      <x:c r="E100" s="2"/>
      <x:c r="F100" s="2"/>
      <x:c r="G100" s="2"/>
      <x:c r="H100" s="2"/>
      <x:c r="I100" s="2"/>
      <x:c r="J100" s="1"/>
    </x:row>
  </x:sheetData>
  <x:mergeCells>
    <x:mergeCell ref="C2:I2"/>
    <x:mergeCell ref="C5:I5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16473E"/>
  </x:sheetPr>
  <x:sheetViews>
    <x:sheetView showGridLines="0" workbookViewId="0">
      <x:pane xSplit="4" ySplit="9" topLeftCell="E10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43" hidden="0" customWidth="1"/>
    <x:col min="4" max="4" width="19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44" customHeight="1">
      <x:c r="A2" s="1"/>
      <x:c r="B2" s="1"/>
      <x:c r="C2" s="6" t="str">
        <x:v>Funding</x:v>
      </x:c>
      <x:c r="D2" s="6"/>
      <x:c r="E2" s="6"/>
      <x:c r="F2" s="6"/>
      <x:c r="G2" s="6"/>
      <x:c r="H2" s="6"/>
      <x:c r="I2" s="6"/>
      <x:c r="J2" s="1"/>
    </x:row>
    <x:row r="3" ht="25" customHeight="1">
      <x:c r="A3" s="1"/>
      <x:c r="B3" s="1"/>
      <x:c r="C3" s="1" t="str">
        <x:v>Selected case</x:v>
      </x:c>
      <x:c r="D3" s="8" t="str">
        <x:f>IFERROR(IFERROR(CHOOSE('Assumptions'!$D$6,"Base","Downside","Upside"),"Invalid case"),"Incomplete")</x:f>
        <x:v>Base</x:v>
      </x:c>
      <x:c r="E3" s="1"/>
      <x:c r="F3" s="1"/>
      <x:c r="G3" s="1"/>
      <x:c r="H3" s="1"/>
      <x:c r="I3" s="1"/>
      <x:c r="J3" s="1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25" customHeight="1">
      <x:c r="A5" s="1"/>
      <x:c r="B5" s="1"/>
      <x:c r="C5" s="7" t="str">
        <x:v>USD thousands unless stated</x:v>
      </x:c>
      <x:c r="D5" s="7"/>
      <x:c r="E5" s="7"/>
      <x:c r="F5" s="7"/>
      <x:c r="G5" s="7"/>
      <x:c r="H5" s="7"/>
      <x:c r="I5" s="7"/>
      <x:c r="J5" s="1"/>
    </x:row>
    <x:row r="6" ht="25" customHeight="1">
      <x:c r="A6" s="1"/>
      <x:c r="B6" s="1"/>
      <x:c r="C6" s="1"/>
      <x:c r="D6" s="2"/>
      <x:c r="E6" s="2"/>
      <x:c r="F6" s="2"/>
      <x:c r="G6" s="2"/>
      <x:c r="H6" s="2"/>
      <x:c r="I6" s="2"/>
      <x:c r="J6" s="1"/>
    </x:row>
    <x:row r="7" ht="25" customHeight="1">
      <x:c r="A7" s="1"/>
      <x:c r="B7" s="1"/>
      <x:c r="C7" s="1"/>
      <x:c r="D7" s="2"/>
      <x:c r="E7" s="2"/>
      <x:c r="F7" s="2"/>
      <x:c r="G7" s="2"/>
      <x:c r="H7" s="2"/>
      <x:c r="I7" s="2"/>
      <x:c r="J7" s="1"/>
    </x:row>
    <x:row r="8" ht="25" customHeight="1">
      <x:c r="A8" s="1"/>
      <x:c r="B8" s="1"/>
      <x:c r="C8" s="9"/>
      <x:c r="D8" s="10"/>
      <x:c r="E8" s="12" t="n">
        <x:f>IFERROR('History'!$F$6+1,"Incomplete")</x:f>
        <x:v>2027</x:v>
      </x:c>
      <x:c r="F8" s="12" t="n">
        <x:f>IFERROR('History'!$F$6+2,"Incomplete")</x:f>
        <x:v>2028</x:v>
      </x:c>
      <x:c r="G8" s="12" t="n">
        <x:f>IFERROR('History'!$F$6+3,"Incomplete")</x:f>
        <x:v>2029</x:v>
      </x:c>
      <x:c r="H8" s="12" t="n">
        <x:f>IFERROR('History'!$F$6+4,"Incomplete")</x:f>
        <x:v>2030</x:v>
      </x:c>
      <x:c r="I8" s="12" t="n">
        <x:f>IFERROR('History'!$F$6+5,"Incomplete")</x:f>
        <x:v>2031</x:v>
      </x:c>
      <x:c r="J8" s="1"/>
    </x:row>
    <x:row r="9" ht="25" customHeight="1">
      <x:c r="A9" s="1"/>
      <x:c r="B9" s="1"/>
      <x:c r="C9" s="1"/>
      <x:c r="D9" s="2"/>
      <x:c r="E9" s="13" t="str">
        <x:f>IFERROR(IF(1&lt;='Assumptions'!$D$7,"In horizon","Beyond horizon"),"Incomplete")</x:f>
        <x:v>In horizon</x:v>
      </x:c>
      <x:c r="F9" s="13" t="str">
        <x:f>IFERROR(IF(2&lt;='Assumptions'!$D$7,"In horizon","Beyond horizon"),"Incomplete")</x:f>
        <x:v>In horizon</x:v>
      </x:c>
      <x:c r="G9" s="13" t="str">
        <x:f>IFERROR(IF(3&lt;='Assumptions'!$D$7,"In horizon","Beyond horizon"),"Incomplete")</x:f>
        <x:v>In horizon</x:v>
      </x:c>
      <x:c r="H9" s="13" t="str">
        <x:f>IFERROR(IF(4&lt;='Assumptions'!$D$7,"In horizon","Beyond horizon"),"Incomplete")</x:f>
        <x:v>Beyond horizon</x:v>
      </x:c>
      <x:c r="I9" s="13" t="str">
        <x:f>IFERROR(IF(5&lt;='Assumptions'!$D$7,"In horizon","Beyond horizon"),"Incomplete")</x:f>
        <x:v>Beyond horizon</x:v>
      </x:c>
      <x:c r="J9" s="1"/>
    </x:row>
    <x:row r="10" ht="25" customHeight="1">
      <x:c r="A10" s="1"/>
      <x:c r="B10" s="1"/>
      <x:c r="C10" s="1" t="str">
        <x:v>Opening cash</x:v>
      </x:c>
      <x:c r="D10" s="2"/>
      <x:c r="E10" s="4" t="n">
        <x:f>IFERROR('History'!$F$28,"Incomplete")</x:f>
        <x:v>95</x:v>
      </x:c>
      <x:c r="F10" s="4" t="n">
        <x:f>IFERROR('Funding'!E36,"Incomplete")</x:f>
        <x:v>60</x:v>
      </x:c>
      <x:c r="G10" s="4" t="n">
        <x:f>IFERROR('Funding'!F36,"Incomplete")</x:f>
        <x:v>96.12807860000002</x:v>
      </x:c>
      <x:c r="H10" s="4" t="n">
        <x:f>IFERROR('Funding'!G36,"Incomplete")</x:f>
        <x:v>144.3140769642651</x:v>
      </x:c>
      <x:c r="I10" s="4" t="n">
        <x:f>IFERROR('Funding'!H36,"Incomplete")</x:f>
        <x:v>317.9988272501216</x:v>
      </x:c>
      <x:c r="J10" s="1"/>
    </x:row>
    <x:row r="11" ht="25" customHeight="1">
      <x:c r="A11" s="1"/>
      <x:c r="B11" s="1"/>
      <x:c r="C11" s="1" t="str">
        <x:v>Opening term debt</x:v>
      </x:c>
      <x:c r="D11" s="2"/>
      <x:c r="E11" s="4" t="n">
        <x:f>IFERROR('History'!$F$31,"Incomplete")</x:f>
        <x:v>180</x:v>
      </x:c>
      <x:c r="F11" s="4" t="n">
        <x:f>IFERROR('Funding'!E34,"Incomplete")</x:f>
        <x:v>155</x:v>
      </x:c>
      <x:c r="G11" s="4" t="n">
        <x:f>IFERROR('Funding'!F34,"Incomplete")</x:f>
        <x:v>93.87192139999998</x:v>
      </x:c>
      <x:c r="H11" s="4" t="n">
        <x:f>IFERROR('Funding'!G34,"Incomplete")</x:f>
        <x:v>0</x:v>
      </x:c>
      <x:c r="I11" s="4" t="n">
        <x:f>IFERROR('Funding'!H34,"Incomplete")</x:f>
        <x:v>0</x:v>
      </x:c>
      <x:c r="J11" s="1"/>
    </x:row>
    <x:row r="12" ht="25" customHeight="1">
      <x:c r="A12" s="1"/>
      <x:c r="B12" s="1"/>
      <x:c r="C12" s="1" t="str">
        <x:v>Opening revolver</x:v>
      </x:c>
      <x:c r="D12" s="2"/>
      <x:c r="E12" s="4" t="n">
        <x:f>IFERROR('History'!$F$32,"Incomplete")</x:f>
        <x:v>20</x:v>
      </x:c>
      <x:c r="F12" s="4" t="n">
        <x:f>IFERROR('Funding'!E35,"Incomplete")</x:f>
        <x:v>8.207999999999998</x:v>
      </x:c>
      <x:c r="G12" s="4" t="n">
        <x:f>IFERROR('Funding'!F35,"Incomplete")</x:f>
        <x:v>0</x:v>
      </x:c>
      <x:c r="H12" s="4" t="n">
        <x:f>IFERROR('Funding'!G35,"Incomplete")</x:f>
        <x:v>0</x:v>
      </x:c>
      <x:c r="I12" s="4" t="n">
        <x:f>IFERROR('Funding'!H35,"Incomplete")</x:f>
        <x:v>0</x:v>
      </x:c>
      <x:c r="J12" s="1"/>
    </x:row>
    <x:row r="13" ht="25" customHeight="1">
      <x:c r="A13" s="1"/>
      <x:c r="B13" s="1"/>
      <x:c r="C13" s="1" t="str">
        <x:v>Interest on opening debt</x:v>
      </x:c>
      <x:c r="D13" s="2"/>
      <x:c r="E13" s="4" t="n">
        <x:f>IFERROR((E11+E12)*'Assumptions'!$D$12,"Incomplete")</x:f>
        <x:v>18</x:v>
      </x:c>
      <x:c r="F13" s="4" t="n">
        <x:f>IFERROR((F11+F12)*'Assumptions'!$D$12,"Incomplete")</x:f>
        <x:v>14.68872</x:v>
      </x:c>
      <x:c r="G13" s="4" t="n">
        <x:f>IFERROR((G11+G12)*'Assumptions'!$D$12,"Incomplete")</x:f>
        <x:v>8.448472925999997</x:v>
      </x:c>
      <x:c r="H13" s="4" t="n">
        <x:f>IFERROR((H11+H12)*'Assumptions'!$D$12,"Incomplete")</x:f>
        <x:v>0</x:v>
      </x:c>
      <x:c r="I13" s="4" t="n">
        <x:f>IFERROR((I11+I12)*'Assumptions'!$D$12,"Incomplete")</x:f>
        <x:v>0</x:v>
      </x:c>
      <x:c r="J13" s="1"/>
    </x:row>
    <x:row r="14" ht="25" customHeight="1">
      <x:c r="A14" s="1"/>
      <x:c r="B14" s="1"/>
      <x:c r="C14" s="1" t="str">
        <x:v>Tax expense</x:v>
      </x:c>
      <x:c r="D14" s="2"/>
      <x:c r="E14" s="4" t="n">
        <x:f>IFERROR('Operations'!E23,"Incomplete")</x:f>
        <x:v>28.960000000000008</x:v>
      </x:c>
      <x:c r="F14" s="4" t="n">
        <x:f>IFERROR('Operations'!F23,"Incomplete")</x:f>
        <x:v>31.381256000000032</x:v>
      </x:c>
      <x:c r="G14" s="4" t="n">
        <x:f>IFERROR('Operations'!G23,"Incomplete")</x:f>
        <x:v>35.19523177170003</x:v>
      </x:c>
      <x:c r="H14" s="4" t="n">
        <x:f>IFERROR('Operations'!H23,"Incomplete")</x:f>
        <x:v>43.07292185342723</x:v>
      </x:c>
      <x:c r="I14" s="4" t="n">
        <x:f>IFERROR('Operations'!I23,"Incomplete")</x:f>
        <x:v>64.88805550211562</x:v>
      </x:c>
      <x:c r="J14" s="1"/>
    </x:row>
    <x:row r="15" ht="25" customHeight="1">
      <x:c r="A15" s="1"/>
      <x:c r="B15" s="1"/>
      <x:c r="C15" s="1" t="str">
        <x:v>Opening tax payable</x:v>
      </x:c>
      <x:c r="D15" s="2"/>
      <x:c r="E15" s="4" t="n">
        <x:f>IFERROR('History'!$F$27,"Incomplete")</x:f>
        <x:v>8</x:v>
      </x:c>
      <x:c r="F15" s="4" t="n">
        <x:f>IFERROR('Funding'!E16,"Incomplete")</x:f>
        <x:v>7.240000000000002</x:v>
      </x:c>
      <x:c r="G15" s="4" t="n">
        <x:f>IFERROR('Funding'!F16,"Incomplete")</x:f>
        <x:v>7.845314000000008</x:v>
      </x:c>
      <x:c r="H15" s="4" t="n">
        <x:f>IFERROR('Funding'!G16,"Incomplete")</x:f>
        <x:v>8.798807942925007</x:v>
      </x:c>
      <x:c r="I15" s="4" t="n">
        <x:f>IFERROR('Funding'!H16,"Incomplete")</x:f>
        <x:v>10.768230463356808</x:v>
      </x:c>
      <x:c r="J15" s="1"/>
    </x:row>
    <x:row r="16" ht="25" customHeight="1">
      <x:c r="A16" s="1"/>
      <x:c r="B16" s="1"/>
      <x:c r="C16" s="1" t="str">
        <x:v>Closing tax payable</x:v>
      </x:c>
      <x:c r="D16" s="2"/>
      <x:c r="E16" s="4" t="n">
        <x:f>IFERROR(E14*'Assumptions'!$D$14,"Incomplete")</x:f>
        <x:v>7.240000000000002</x:v>
      </x:c>
      <x:c r="F16" s="4" t="n">
        <x:f>IFERROR(F14*'Assumptions'!$D$14,"Incomplete")</x:f>
        <x:v>7.845314000000008</x:v>
      </x:c>
      <x:c r="G16" s="4" t="n">
        <x:f>IFERROR(G14*'Assumptions'!$D$14,"Incomplete")</x:f>
        <x:v>8.798807942925007</x:v>
      </x:c>
      <x:c r="H16" s="4" t="n">
        <x:f>IFERROR(H14*'Assumptions'!$D$14,"Incomplete")</x:f>
        <x:v>10.768230463356808</x:v>
      </x:c>
      <x:c r="I16" s="4" t="n">
        <x:f>IFERROR(I14*'Assumptions'!$D$14,"Incomplete")</x:f>
        <x:v>16.222013875528905</x:v>
      </x:c>
      <x:c r="J16" s="1"/>
    </x:row>
    <x:row r="17" ht="25" customHeight="1">
      <x:c r="A17" s="1"/>
      <x:c r="B17" s="1"/>
      <x:c r="C17" s="1" t="str">
        <x:v>Cash tax paid</x:v>
      </x:c>
      <x:c r="D17" s="2"/>
      <x:c r="E17" s="2" t="n">
        <x:f>IFERROR(E14+E15-E16,"Incomplete")</x:f>
        <x:v>29.720000000000006</x:v>
      </x:c>
      <x:c r="F17" s="2" t="n">
        <x:f>IFERROR(F14+F15-F16,"Incomplete")</x:f>
        <x:v>30.775942000000022</x:v>
      </x:c>
      <x:c r="G17" s="2" t="n">
        <x:f>IFERROR(G14+G15-G16,"Incomplete")</x:f>
        <x:v>34.24173782877503</x:v>
      </x:c>
      <x:c r="H17" s="2" t="n">
        <x:f>IFERROR(H14+H15-H16,"Incomplete")</x:f>
        <x:v>41.10349933299543</x:v>
      </x:c>
      <x:c r="I17" s="2" t="n">
        <x:f>IFERROR(I14+I15-I16,"Incomplete")</x:f>
        <x:v>59.43427208994352</x:v>
      </x:c>
      <x:c r="J17" s="1"/>
    </x:row>
    <x:row r="18" ht="25" customHeight="1">
      <x:c r="A18" s="1"/>
      <x:c r="B18" s="1"/>
      <x:c r="C18" s="1" t="str">
        <x:v>Net income</x:v>
      </x:c>
      <x:c r="D18" s="2"/>
      <x:c r="E18" s="4" t="n">
        <x:f>IFERROR('Operations'!E24,"Incomplete")</x:f>
        <x:v>86.88000000000002</x:v>
      </x:c>
      <x:c r="F18" s="4" t="n">
        <x:f>IFERROR('Operations'!F24,"Incomplete")</x:f>
        <x:v>94.1437680000001</x:v>
      </x:c>
      <x:c r="G18" s="4" t="n">
        <x:f>IFERROR('Operations'!G24,"Incomplete")</x:f>
        <x:v>105.58569531510008</x:v>
      </x:c>
      <x:c r="H18" s="4" t="n">
        <x:f>IFERROR('Operations'!H24,"Incomplete")</x:f>
        <x:v>129.2187655602817</x:v>
      </x:c>
      <x:c r="I18" s="4" t="n">
        <x:f>IFERROR('Operations'!I24,"Incomplete")</x:f>
        <x:v>194.66416650634687</x:v>
      </x:c>
      <x:c r="J18" s="1"/>
    </x:row>
    <x:row r="19" ht="25" customHeight="1">
      <x:c r="A19" s="1"/>
      <x:c r="B19" s="1"/>
      <x:c r="C19" s="1" t="str">
        <x:v>D&amp;A add-back</x:v>
      </x:c>
      <x:c r="D19" s="2"/>
      <x:c r="E19" s="4" t="n">
        <x:f>IFERROR('Assets'!E14+'Assets'!E22,"Incomplete")</x:f>
        <x:v>96</x:v>
      </x:c>
      <x:c r="F19" s="4" t="n">
        <x:f>IFERROR('Assets'!F14+'Assets'!F22,"Incomplete")</x:f>
        <x:v>125.25</x:v>
      </x:c>
      <x:c r="G19" s="4" t="n">
        <x:f>IFERROR('Assets'!G14+'Assets'!G22,"Incomplete")</x:f>
        <x:v>147</x:v>
      </x:c>
      <x:c r="H19" s="4" t="n">
        <x:f>IFERROR('Assets'!H14+'Assets'!H22,"Incomplete")</x:f>
        <x:v>152.75</x:v>
      </x:c>
      <x:c r="I19" s="4" t="n">
        <x:f>IFERROR('Assets'!I14+'Assets'!I22,"Incomplete")</x:f>
        <x:v>91.5</x:v>
      </x:c>
      <x:c r="J19" s="1"/>
    </x:row>
    <x:row r="20" ht="25" customHeight="1">
      <x:c r="A20" s="1"/>
      <x:c r="B20" s="1"/>
      <x:c r="C20" s="1" t="str">
        <x:v>Operating WC cash adjustment</x:v>
      </x:c>
      <x:c r="D20" s="2"/>
      <x:c r="E20" s="4" t="n">
        <x:f>IFERROR('Working capital'!E20,"Incomplete")</x:f>
        <x:v>-61.32800000000003</x:v>
      </x:c>
      <x:c r="F20" s="4" t="n">
        <x:f>IFERROR('Working capital'!F20,"Incomplete")</x:f>
        <x:v>-25.534924800000027</x:v>
      </x:c>
      <x:c r="G20" s="4" t="n">
        <x:f>IFERROR('Working capital'!G20,"Incomplete")</x:f>
        <x:v>-22.481269493760053</x:v>
      </x:c>
      <x:c r="H20" s="4" t="n">
        <x:f>IFERROR('Working capital'!H20,"Incomplete")</x:f>
        <x:v>-21.253437794856936</x:v>
      </x:c>
      <x:c r="I20" s="4" t="n">
        <x:f>IFERROR('Working capital'!I20,"Incomplete")</x:f>
        <x:v>-19.49233603098793</x:v>
      </x:c>
      <x:c r="J20" s="1"/>
    </x:row>
    <x:row r="21" ht="25" customHeight="1">
      <x:c r="A21" s="1"/>
      <x:c r="B21" s="1"/>
      <x:c r="C21" s="1" t="str">
        <x:v>Tax payable cash adjustment</x:v>
      </x:c>
      <x:c r="D21" s="2"/>
      <x:c r="E21" s="2" t="n">
        <x:f>IFERROR(E16-E15,"Incomplete")</x:f>
        <x:v>-0.759999999999998</x:v>
      </x:c>
      <x:c r="F21" s="2" t="n">
        <x:f>IFERROR(F16-F15,"Incomplete")</x:f>
        <x:v>0.6053140000000061</x:v>
      </x:c>
      <x:c r="G21" s="2" t="n">
        <x:f>IFERROR(G16-G15,"Incomplete")</x:f>
        <x:v>0.9534939429249993</x:v>
      </x:c>
      <x:c r="H21" s="2" t="n">
        <x:f>IFERROR(H16-H15,"Incomplete")</x:f>
        <x:v>1.9694225204318005</x:v>
      </x:c>
      <x:c r="I21" s="2" t="n">
        <x:f>IFERROR(I16-I15,"Incomplete")</x:f>
        <x:v>5.453783412172097</x:v>
      </x:c>
      <x:c r="J21" s="1"/>
    </x:row>
    <x:row r="22" ht="25" customHeight="1">
      <x:c r="A22" s="1"/>
      <x:c r="B22" s="1"/>
      <x:c r="C22" s="1" t="str">
        <x:v>Operating cash flow</x:v>
      </x:c>
      <x:c r="D22" s="2"/>
      <x:c r="E22" s="2" t="n">
        <x:f>IFERROR(SUM(E18:E21),"Incomplete")</x:f>
        <x:v>120.792</x:v>
      </x:c>
      <x:c r="F22" s="2" t="n">
        <x:f>IFERROR(SUM(F18:F21),"Incomplete")</x:f>
        <x:v>194.46415720000005</x:v>
      </x:c>
      <x:c r="G22" s="2" t="n">
        <x:f>IFERROR(SUM(G18:G21),"Incomplete")</x:f>
        <x:v>231.05791976426505</x:v>
      </x:c>
      <x:c r="H22" s="2" t="n">
        <x:f>IFERROR(SUM(H18:H21),"Incomplete")</x:f>
        <x:v>262.6847502858565</x:v>
      </x:c>
      <x:c r="I22" s="2" t="n">
        <x:f>IFERROR(SUM(I18:I21),"Incomplete")</x:f>
        <x:v>272.125613887531</x:v>
      </x:c>
      <x:c r="J22" s="1"/>
    </x:row>
    <x:row r="23" ht="25" customHeight="1">
      <x:c r="A23" s="1"/>
      <x:c r="B23" s="1"/>
      <x:c r="C23" s="1" t="str">
        <x:v>Cash PP&amp;E additions</x:v>
      </x:c>
      <x:c r="D23" s="2"/>
      <x:c r="E23" s="4" t="n">
        <x:f>IFERROR('Assets'!E11,"Incomplete")</x:f>
        <x:v>105</x:v>
      </x:c>
      <x:c r="F23" s="4" t="n">
        <x:f>IFERROR('Assets'!F11,"Incomplete")</x:f>
        <x:v>75</x:v>
      </x:c>
      <x:c r="G23" s="4" t="n">
        <x:f>IFERROR('Assets'!G11,"Incomplete")</x:f>
        <x:v>75</x:v>
      </x:c>
      <x:c r="H23" s="4" t="n">
        <x:f>IFERROR('Assets'!H11,"Incomplete")</x:f>
        <x:v>75</x:v>
      </x:c>
      <x:c r="I23" s="4" t="n">
        <x:f>IFERROR('Assets'!I11,"Incomplete")</x:f>
        <x:v>75</x:v>
      </x:c>
      <x:c r="J23" s="1"/>
    </x:row>
    <x:row r="24" ht="25" customHeight="1">
      <x:c r="A24" s="1"/>
      <x:c r="B24" s="1"/>
      <x:c r="C24" s="1" t="str">
        <x:v>Cash software additions</x:v>
      </x:c>
      <x:c r="D24" s="2"/>
      <x:c r="E24" s="4" t="n">
        <x:f>IFERROR('Assets'!E19,"Incomplete")</x:f>
        <x:v>9</x:v>
      </x:c>
      <x:c r="F24" s="4" t="n">
        <x:f>IFERROR('Assets'!F19,"Incomplete")</x:f>
        <x:v>9</x:v>
      </x:c>
      <x:c r="G24" s="4" t="n">
        <x:f>IFERROR('Assets'!G19,"Incomplete")</x:f>
        <x:v>9</x:v>
      </x:c>
      <x:c r="H24" s="4" t="n">
        <x:f>IFERROR('Assets'!H19,"Incomplete")</x:f>
        <x:v>9</x:v>
      </x:c>
      <x:c r="I24" s="4" t="n">
        <x:f>IFERROR('Assets'!I19,"Incomplete")</x:f>
        <x:v>9</x:v>
      </x:c>
      <x:c r="J24" s="1"/>
    </x:row>
    <x:row r="25" ht="25" customHeight="1">
      <x:c r="A25" s="1"/>
      <x:c r="B25" s="1"/>
      <x:c r="C25" s="1" t="str">
        <x:v>Mandatory term repayment</x:v>
      </x:c>
      <x:c r="D25" s="2"/>
      <x:c r="E25" s="4" t="n">
        <x:f>IFERROR(MIN(E11,'Assumptions'!$D$10),"Incomplete")</x:f>
        <x:v>25</x:v>
      </x:c>
      <x:c r="F25" s="4" t="n">
        <x:f>IFERROR(MIN(F11,'Assumptions'!$D$10),"Incomplete")</x:f>
        <x:v>25</x:v>
      </x:c>
      <x:c r="G25" s="4" t="n">
        <x:f>IFERROR(MIN(G11,'Assumptions'!$D$10),"Incomplete")</x:f>
        <x:v>25</x:v>
      </x:c>
      <x:c r="H25" s="4" t="n">
        <x:f>IFERROR(MIN(H11,'Assumptions'!$D$10),"Incomplete")</x:f>
        <x:v>0</x:v>
      </x:c>
      <x:c r="I25" s="4" t="n">
        <x:f>IFERROR(MIN(I11,'Assumptions'!$D$10),"Incomplete")</x:f>
        <x:v>0</x:v>
      </x:c>
      <x:c r="J25" s="1"/>
    </x:row>
    <x:row r="26" ht="25" customHeight="1">
      <x:c r="A26" s="1"/>
      <x:c r="B26" s="1"/>
      <x:c r="C26" s="1" t="str">
        <x:v>Cash dividends</x:v>
      </x:c>
      <x:c r="D26" s="2"/>
      <x:c r="E26" s="4" t="n">
        <x:f>IFERROR('Assumptions'!E70,"Incomplete")</x:f>
        <x:v>5</x:v>
      </x:c>
      <x:c r="F26" s="4" t="n">
        <x:f>IFERROR('Assumptions'!F70,"Incomplete")</x:f>
        <x:v>5</x:v>
      </x:c>
      <x:c r="G26" s="4" t="n">
        <x:f>IFERROR('Assumptions'!G70,"Incomplete")</x:f>
        <x:v>5</x:v>
      </x:c>
      <x:c r="H26" s="4" t="n">
        <x:f>IFERROR('Assumptions'!H70,"Incomplete")</x:f>
        <x:v>5</x:v>
      </x:c>
      <x:c r="I26" s="4" t="n">
        <x:f>IFERROR('Assumptions'!I70,"Incomplete")</x:f>
        <x:v>5</x:v>
      </x:c>
      <x:c r="J26" s="1"/>
    </x:row>
    <x:row r="27" ht="25" customHeight="1">
      <x:c r="A27" s="1"/>
      <x:c r="B27" s="1"/>
      <x:c r="C27" s="1" t="str">
        <x:v>Cash equity issuance</x:v>
      </x:c>
      <x:c r="D27" s="2"/>
      <x:c r="E27" s="4" t="n">
        <x:f>IFERROR('Assumptions'!E74,"Incomplete")</x:f>
        <x:v>0</x:v>
      </x:c>
      <x:c r="F27" s="4" t="n">
        <x:f>IFERROR('Assumptions'!F74,"Incomplete")</x:f>
        <x:v>0</x:v>
      </x:c>
      <x:c r="G27" s="4" t="n">
        <x:f>IFERROR('Assumptions'!G74,"Incomplete")</x:f>
        <x:v>0</x:v>
      </x:c>
      <x:c r="H27" s="4" t="n">
        <x:f>IFERROR('Assumptions'!H74,"Incomplete")</x:f>
        <x:v>0</x:v>
      </x:c>
      <x:c r="I27" s="4" t="n">
        <x:f>IFERROR('Assumptions'!I74,"Incomplete")</x:f>
        <x:v>0</x:v>
      </x:c>
      <x:c r="J27" s="1"/>
    </x:row>
    <x:row r="28" ht="25" customHeight="1">
      <x:c r="A28" s="1"/>
      <x:c r="B28" s="1"/>
      <x:c r="C28" s="1" t="str">
        <x:v>Cash before flexible financing</x:v>
      </x:c>
      <x:c r="D28" s="2"/>
      <x:c r="E28" s="2" t="n">
        <x:f>IFERROR(E10+E22-E23-E24-E25-E26+E27,"Incomplete")</x:f>
        <x:v>71.792</x:v>
      </x:c>
      <x:c r="F28" s="2" t="n">
        <x:f>IFERROR(F10+F22-F23-F24-F25-F26+F27,"Incomplete")</x:f>
        <x:v>140.46415720000005</x:v>
      </x:c>
      <x:c r="G28" s="2" t="n">
        <x:f>IFERROR(G10+G22-G23-G24-G25-G26+G27,"Incomplete")</x:f>
        <x:v>213.18599836426506</x:v>
      </x:c>
      <x:c r="H28" s="2" t="n">
        <x:f>IFERROR(H10+H22-H23-H24-H25-H26+H27,"Incomplete")</x:f>
        <x:v>317.9988272501216</x:v>
      </x:c>
      <x:c r="I28" s="2" t="n">
        <x:f>IFERROR(I10+I22-I23-I24-I25-I26+I27,"Incomplete")</x:f>
        <x:v>501.12444113765264</x:v>
      </x:c>
      <x:c r="J28" s="1"/>
    </x:row>
    <x:row r="29" ht="25" customHeight="1">
      <x:c r="A29" s="1"/>
      <x:c r="B29" s="1"/>
      <x:c r="C29" s="1" t="str">
        <x:v>Required revolver draw</x:v>
      </x:c>
      <x:c r="D29" s="2"/>
      <x:c r="E29" s="4" t="n">
        <x:f>IFERROR(MAX(0,'Assumptions'!$D$8-E28),"Incomplete")</x:f>
        <x:v>0</x:v>
      </x:c>
      <x:c r="F29" s="4" t="n">
        <x:f>IFERROR(MAX(0,'Assumptions'!$D$8-F28),"Incomplete")</x:f>
        <x:v>0</x:v>
      </x:c>
      <x:c r="G29" s="4" t="n">
        <x:f>IFERROR(MAX(0,'Assumptions'!$D$8-G28),"Incomplete")</x:f>
        <x:v>0</x:v>
      </x:c>
      <x:c r="H29" s="4" t="n">
        <x:f>IFERROR(MAX(0,'Assumptions'!$D$8-H28),"Incomplete")</x:f>
        <x:v>0</x:v>
      </x:c>
      <x:c r="I29" s="4" t="n">
        <x:f>IFERROR(MAX(0,'Assumptions'!$D$8-I28),"Incomplete")</x:f>
        <x:v>0</x:v>
      </x:c>
      <x:c r="J29" s="1"/>
    </x:row>
    <x:row r="30" ht="25" customHeight="1">
      <x:c r="A30" s="1"/>
      <x:c r="B30" s="1"/>
      <x:c r="C30" s="1" t="str">
        <x:v>Undrawn facility capacity</x:v>
      </x:c>
      <x:c r="D30" s="2"/>
      <x:c r="E30" s="4" t="n">
        <x:f>IFERROR(MAX(0,'Assumptions'!$D$9-E12),"Incomplete")</x:f>
        <x:v>90</x:v>
      </x:c>
      <x:c r="F30" s="4" t="n">
        <x:f>IFERROR(MAX(0,'Assumptions'!$D$9-F12),"Incomplete")</x:f>
        <x:v>101.792</x:v>
      </x:c>
      <x:c r="G30" s="4" t="n">
        <x:f>IFERROR(MAX(0,'Assumptions'!$D$9-G12),"Incomplete")</x:f>
        <x:v>110</x:v>
      </x:c>
      <x:c r="H30" s="4" t="n">
        <x:f>IFERROR(MAX(0,'Assumptions'!$D$9-H12),"Incomplete")</x:f>
        <x:v>110</x:v>
      </x:c>
      <x:c r="I30" s="4" t="n">
        <x:f>IFERROR(MAX(0,'Assumptions'!$D$9-I12),"Incomplete")</x:f>
        <x:v>110</x:v>
      </x:c>
      <x:c r="J30" s="1"/>
    </x:row>
    <x:row r="31" ht="25" customHeight="1">
      <x:c r="A31" s="1"/>
      <x:c r="B31" s="1"/>
      <x:c r="C31" s="1" t="str">
        <x:v>Permitted revolver draw</x:v>
      </x:c>
      <x:c r="D31" s="2"/>
      <x:c r="E31" s="2" t="n">
        <x:f>IFERROR(MIN(E29,E30),"Incomplete")</x:f>
        <x:v>0</x:v>
      </x:c>
      <x:c r="F31" s="2" t="n">
        <x:f>IFERROR(MIN(F29,F30),"Incomplete")</x:f>
        <x:v>0</x:v>
      </x:c>
      <x:c r="G31" s="2" t="n">
        <x:f>IFERROR(MIN(G29,G30),"Incomplete")</x:f>
        <x:v>0</x:v>
      </x:c>
      <x:c r="H31" s="2" t="n">
        <x:f>IFERROR(MIN(H29,H30),"Incomplete")</x:f>
        <x:v>0</x:v>
      </x:c>
      <x:c r="I31" s="2" t="n">
        <x:f>IFERROR(MIN(I29,I30),"Incomplete")</x:f>
        <x:v>0</x:v>
      </x:c>
      <x:c r="J31" s="1"/>
    </x:row>
    <x:row r="32" ht="25" customHeight="1">
      <x:c r="A32" s="1"/>
      <x:c r="B32" s="1"/>
      <x:c r="C32" s="1" t="str">
        <x:v>Revolver repayment</x:v>
      </x:c>
      <x:c r="D32" s="2"/>
      <x:c r="E32" s="4" t="n">
        <x:f>IFERROR(MIN(E12,MAX(0,E28-'Assumptions'!$D$8)),"Incomplete")</x:f>
        <x:v>11.792000000000002</x:v>
      </x:c>
      <x:c r="F32" s="4" t="n">
        <x:f>IFERROR(MIN(F12,MAX(0,F28-'Assumptions'!$D$8)),"Incomplete")</x:f>
        <x:v>8.207999999999998</x:v>
      </x:c>
      <x:c r="G32" s="4" t="n">
        <x:f>IFERROR(MIN(G12,MAX(0,G28-'Assumptions'!$D$8)),"Incomplete")</x:f>
        <x:v>0</x:v>
      </x:c>
      <x:c r="H32" s="4" t="n">
        <x:f>IFERROR(MIN(H12,MAX(0,H28-'Assumptions'!$D$8)),"Incomplete")</x:f>
        <x:v>0</x:v>
      </x:c>
      <x:c r="I32" s="4" t="n">
        <x:f>IFERROR(MIN(I12,MAX(0,I28-'Assumptions'!$D$8)),"Incomplete")</x:f>
        <x:v>0</x:v>
      </x:c>
      <x:c r="J32" s="1"/>
    </x:row>
    <x:row r="33" ht="25" customHeight="1">
      <x:c r="A33" s="1"/>
      <x:c r="B33" s="1"/>
      <x:c r="C33" s="1" t="str">
        <x:v>Term cash sweep</x:v>
      </x:c>
      <x:c r="D33" s="2"/>
      <x:c r="E33" s="4" t="n">
        <x:f>IFERROR(MIN(E11-E25,MAX(0,E28-E32-'Assumptions'!$D$8)*'Assumptions'!$D$11),"Incomplete")</x:f>
        <x:v>0</x:v>
      </x:c>
      <x:c r="F33" s="4" t="n">
        <x:f>IFERROR(MIN(F11-F25,MAX(0,F28-F32-'Assumptions'!$D$8)*'Assumptions'!$D$11),"Incomplete")</x:f>
        <x:v>36.12807860000002</x:v>
      </x:c>
      <x:c r="G33" s="4" t="n">
        <x:f>IFERROR(MIN(G11-G25,MAX(0,G28-G32-'Assumptions'!$D$8)*'Assumptions'!$D$11),"Incomplete")</x:f>
        <x:v>68.87192139999998</x:v>
      </x:c>
      <x:c r="H33" s="4" t="n">
        <x:f>IFERROR(MIN(H11-H25,MAX(0,H28-H32-'Assumptions'!$D$8)*'Assumptions'!$D$11),"Incomplete")</x:f>
        <x:v>0</x:v>
      </x:c>
      <x:c r="I33" s="4" t="n">
        <x:f>IFERROR(MIN(I11-I25,MAX(0,I28-I32-'Assumptions'!$D$8)*'Assumptions'!$D$11),"Incomplete")</x:f>
        <x:v>0</x:v>
      </x:c>
      <x:c r="J33" s="1"/>
    </x:row>
    <x:row r="34" ht="25" customHeight="1">
      <x:c r="A34" s="1"/>
      <x:c r="B34" s="1"/>
      <x:c r="C34" s="1" t="str">
        <x:v>Closing term debt</x:v>
      </x:c>
      <x:c r="D34" s="2"/>
      <x:c r="E34" s="2" t="n">
        <x:f>IFERROR(E11-E25-E33,"Incomplete")</x:f>
        <x:v>155</x:v>
      </x:c>
      <x:c r="F34" s="2" t="n">
        <x:f>IFERROR(F11-F25-F33,"Incomplete")</x:f>
        <x:v>93.87192139999998</x:v>
      </x:c>
      <x:c r="G34" s="2" t="n">
        <x:f>IFERROR(G11-G25-G33,"Incomplete")</x:f>
        <x:v>0</x:v>
      </x:c>
      <x:c r="H34" s="2" t="n">
        <x:f>IFERROR(H11-H25-H33,"Incomplete")</x:f>
        <x:v>0</x:v>
      </x:c>
      <x:c r="I34" s="2" t="n">
        <x:f>IFERROR(I11-I25-I33,"Incomplete")</x:f>
        <x:v>0</x:v>
      </x:c>
      <x:c r="J34" s="1"/>
    </x:row>
    <x:row r="35" ht="25" customHeight="1">
      <x:c r="A35" s="1"/>
      <x:c r="B35" s="1"/>
      <x:c r="C35" s="1" t="str">
        <x:v>Closing revolver</x:v>
      </x:c>
      <x:c r="D35" s="2"/>
      <x:c r="E35" s="2" t="n">
        <x:f>IFERROR(E12+E31-E32,"Incomplete")</x:f>
        <x:v>8.207999999999998</x:v>
      </x:c>
      <x:c r="F35" s="2" t="n">
        <x:f>IFERROR(F12+F31-F32,"Incomplete")</x:f>
        <x:v>0</x:v>
      </x:c>
      <x:c r="G35" s="2" t="n">
        <x:f>IFERROR(G12+G31-G32,"Incomplete")</x:f>
        <x:v>0</x:v>
      </x:c>
      <x:c r="H35" s="2" t="n">
        <x:f>IFERROR(H12+H31-H32,"Incomplete")</x:f>
        <x:v>0</x:v>
      </x:c>
      <x:c r="I35" s="2" t="n">
        <x:f>IFERROR(I12+I31-I32,"Incomplete")</x:f>
        <x:v>0</x:v>
      </x:c>
      <x:c r="J35" s="1"/>
    </x:row>
    <x:row r="36" ht="25" customHeight="1">
      <x:c r="A36" s="1"/>
      <x:c r="B36" s="1"/>
      <x:c r="C36" s="1" t="str">
        <x:v>Closing cash / unfunded residual</x:v>
      </x:c>
      <x:c r="D36" s="2"/>
      <x:c r="E36" s="2" t="n">
        <x:f>IFERROR(E28+E31-E32-E33,"Incomplete")</x:f>
        <x:v>60</x:v>
      </x:c>
      <x:c r="F36" s="2" t="n">
        <x:f>IFERROR(F28+F31-F32-F33,"Incomplete")</x:f>
        <x:v>96.12807860000002</x:v>
      </x:c>
      <x:c r="G36" s="2" t="n">
        <x:f>IFERROR(G28+G31-G32-G33,"Incomplete")</x:f>
        <x:v>144.3140769642651</x:v>
      </x:c>
      <x:c r="H36" s="2" t="n">
        <x:f>IFERROR(H28+H31-H32-H33,"Incomplete")</x:f>
        <x:v>317.9988272501216</x:v>
      </x:c>
      <x:c r="I36" s="2" t="n">
        <x:f>IFERROR(I28+I31-I32-I33,"Incomplete")</x:f>
        <x:v>501.12444113765264</x:v>
      </x:c>
      <x:c r="J36" s="1"/>
    </x:row>
    <x:row r="37" ht="25" customHeight="1">
      <x:c r="A37" s="1"/>
      <x:c r="B37" s="1"/>
      <x:c r="C37" s="1" t="str">
        <x:v>Unfunded gap to cash floor</x:v>
      </x:c>
      <x:c r="D37" s="2"/>
      <x:c r="E37" s="4" t="n">
        <x:f>IFERROR(MAX(0,'Assumptions'!$D$8-E36),"Incomplete")</x:f>
        <x:v>0</x:v>
      </x:c>
      <x:c r="F37" s="4" t="n">
        <x:f>IFERROR(MAX(0,'Assumptions'!$D$8-F36),"Incomplete")</x:f>
        <x:v>0</x:v>
      </x:c>
      <x:c r="G37" s="4" t="n">
        <x:f>IFERROR(MAX(0,'Assumptions'!$D$8-G36),"Incomplete")</x:f>
        <x:v>0</x:v>
      </x:c>
      <x:c r="H37" s="4" t="n">
        <x:f>IFERROR(MAX(0,'Assumptions'!$D$8-H36),"Incomplete")</x:f>
        <x:v>0</x:v>
      </x:c>
      <x:c r="I37" s="4" t="n">
        <x:f>IFERROR(MAX(0,'Assumptions'!$D$8-I36),"Incomplete")</x:f>
        <x:v>0</x:v>
      </x:c>
      <x:c r="J37" s="1"/>
    </x:row>
    <x:row r="38" ht="25" customHeight="1">
      <x:c r="A38" s="1"/>
      <x:c r="B38" s="1"/>
      <x:c r="C38" s="1" t="str">
        <x:v>Paid-in capital</x:v>
      </x:c>
      <x:c r="D38" s="2"/>
      <x:c r="E38" s="4" t="n">
        <x:f>IFERROR('History'!$F$33+E27,"Incomplete")</x:f>
        <x:v>180</x:v>
      </x:c>
      <x:c r="F38" s="4" t="n">
        <x:f>IFERROR('Funding'!E38+F27,"Incomplete")</x:f>
        <x:v>180</x:v>
      </x:c>
      <x:c r="G38" s="4" t="n">
        <x:f>IFERROR('Funding'!F38+G27,"Incomplete")</x:f>
        <x:v>180</x:v>
      </x:c>
      <x:c r="H38" s="4" t="n">
        <x:f>IFERROR('Funding'!G38+H27,"Incomplete")</x:f>
        <x:v>180</x:v>
      </x:c>
      <x:c r="I38" s="4" t="n">
        <x:f>IFERROR('Funding'!H38+I27,"Incomplete")</x:f>
        <x:v>180</x:v>
      </x:c>
      <x:c r="J38" s="1"/>
    </x:row>
    <x:row r="39" ht="25" customHeight="1">
      <x:c r="A39" s="1"/>
      <x:c r="B39" s="1"/>
      <x:c r="C39" s="1" t="str">
        <x:v>Retained earnings</x:v>
      </x:c>
      <x:c r="D39" s="2"/>
      <x:c r="E39" s="4" t="n">
        <x:f>IFERROR('History'!$F$34+E18-E26,"Incomplete")</x:f>
        <x:v>346.88</x:v>
      </x:c>
      <x:c r="F39" s="4" t="n">
        <x:f>IFERROR('Funding'!E39+F18-F26,"Incomplete")</x:f>
        <x:v>436.0237680000001</x:v>
      </x:c>
      <x:c r="G39" s="4" t="n">
        <x:f>IFERROR('Funding'!F39+G18-G26,"Incomplete")</x:f>
        <x:v>536.6094633151001</x:v>
      </x:c>
      <x:c r="H39" s="4" t="n">
        <x:f>IFERROR('Funding'!G39+H18-H26,"Incomplete")</x:f>
        <x:v>660.8282288753818</x:v>
      </x:c>
      <x:c r="I39" s="4" t="n">
        <x:f>IFERROR('Funding'!H39+I18-I26,"Incomplete")</x:f>
        <x:v>850.4923953817287</x:v>
      </x:c>
      <x:c r="J39" s="1"/>
    </x:row>
    <x:row r="40" ht="25" customHeight="1">
      <x:c r="A40" s="1"/>
      <x:c r="B40" s="1"/>
      <x:c r="C40" s="1" t="str">
        <x:v>Investing cash flow</x:v>
      </x:c>
      <x:c r="D40" s="2"/>
      <x:c r="E40" s="2" t="n">
        <x:f>IFERROR(-E23-E24,"Incomplete")</x:f>
        <x:v>-114</x:v>
      </x:c>
      <x:c r="F40" s="2" t="n">
        <x:f>IFERROR(-F23-F24,"Incomplete")</x:f>
        <x:v>-84</x:v>
      </x:c>
      <x:c r="G40" s="2" t="n">
        <x:f>IFERROR(-G23-G24,"Incomplete")</x:f>
        <x:v>-84</x:v>
      </x:c>
      <x:c r="H40" s="2" t="n">
        <x:f>IFERROR(-H23-H24,"Incomplete")</x:f>
        <x:v>-84</x:v>
      </x:c>
      <x:c r="I40" s="2" t="n">
        <x:f>IFERROR(-I23-I24,"Incomplete")</x:f>
        <x:v>-84</x:v>
      </x:c>
      <x:c r="J40" s="1"/>
    </x:row>
    <x:row r="41" ht="25" customHeight="1">
      <x:c r="A41" s="1"/>
      <x:c r="B41" s="1"/>
      <x:c r="C41" s="1" t="str">
        <x:v>Financing cash flow</x:v>
      </x:c>
      <x:c r="D41" s="2"/>
      <x:c r="E41" s="2" t="n">
        <x:f>IFERROR(E27-E26-E25+E31-E32-E33,"Incomplete")</x:f>
        <x:v>-41.792</x:v>
      </x:c>
      <x:c r="F41" s="2" t="n">
        <x:f>IFERROR(F27-F26-F25+F31-F32-F33,"Incomplete")</x:f>
        <x:v>-74.33607860000002</x:v>
      </x:c>
      <x:c r="G41" s="2" t="n">
        <x:f>IFERROR(G27-G26-G25+G31-G32-G33,"Incomplete")</x:f>
        <x:v>-98.87192139999998</x:v>
      </x:c>
      <x:c r="H41" s="2" t="n">
        <x:f>IFERROR(H27-H26-H25+H31-H32-H33,"Incomplete")</x:f>
        <x:v>-5</x:v>
      </x:c>
      <x:c r="I41" s="2" t="n">
        <x:f>IFERROR(I27-I26-I25+I31-I32-I33,"Incomplete")</x:f>
        <x:v>-5</x:v>
      </x:c>
      <x:c r="J41" s="1"/>
    </x:row>
    <x:row r="42" ht="25" customHeight="1">
      <x:c r="A42" s="1"/>
      <x:c r="B42" s="1"/>
      <x:c r="C42" s="1" t="str">
        <x:v>Total cash change</x:v>
      </x:c>
      <x:c r="D42" s="2"/>
      <x:c r="E42" s="2" t="n">
        <x:f>IFERROR(E22+E40+E41,"Incomplete")</x:f>
        <x:v>-35</x:v>
      </x:c>
      <x:c r="F42" s="2" t="n">
        <x:f>IFERROR(F22+F40+F41,"Incomplete")</x:f>
        <x:v>36.12807860000002</x:v>
      </x:c>
      <x:c r="G42" s="2" t="n">
        <x:f>IFERROR(G22+G40+G41,"Incomplete")</x:f>
        <x:v>48.185998364265075</x:v>
      </x:c>
      <x:c r="H42" s="2" t="n">
        <x:f>IFERROR(H22+H40+H41,"Incomplete")</x:f>
        <x:v>173.68475028585652</x:v>
      </x:c>
      <x:c r="I42" s="2" t="n">
        <x:f>IFERROR(I22+I40+I41,"Incomplete")</x:f>
        <x:v>183.12561388753102</x:v>
      </x:c>
      <x:c r="J42" s="1"/>
    </x:row>
    <x:row r="43" ht="25" customHeight="1">
      <x:c r="A43" s="1"/>
      <x:c r="B43" s="1"/>
      <x:c r="C43" s="1" t="str">
        <x:v>Direct-method operating cash</x:v>
      </x:c>
      <x:c r="D43" s="2"/>
      <x:c r="E43" s="4" t="n">
        <x:f>IFERROR('Working capital'!E22-'Working capital'!E24-'Working capital'!E25-E13-E17,"Incomplete")</x:f>
        <x:v>120.79199999999994</x:v>
      </x:c>
      <x:c r="F43" s="4" t="n">
        <x:f>IFERROR('Working capital'!F22-'Working capital'!F24-'Working capital'!F25-F13-F17,"Incomplete")</x:f>
        <x:v>194.4641572000003</x:v>
      </x:c>
      <x:c r="G43" s="4" t="n">
        <x:f>IFERROR('Working capital'!G22-'Working capital'!G24-'Working capital'!G25-G13-G17,"Incomplete")</x:f>
        <x:v>231.05791976426482</x:v>
      </x:c>
      <x:c r="H43" s="4" t="n">
        <x:f>IFERROR('Working capital'!H22-'Working capital'!H24-'Working capital'!H25-H13-H17,"Incomplete")</x:f>
        <x:v>262.6847502858565</x:v>
      </x:c>
      <x:c r="I43" s="4" t="n">
        <x:f>IFERROR('Working capital'!I22-'Working capital'!I24-'Working capital'!I25-I13-I17,"Incomplete")</x:f>
        <x:v>272.1256138875312</x:v>
      </x:c>
      <x:c r="J43" s="1"/>
    </x:row>
    <x:row r="44" ht="25" customHeight="1">
      <x:c r="A44" s="1"/>
      <x:c r="B44" s="1"/>
      <x:c r="C44" s="1"/>
      <x:c r="D44" s="2"/>
      <x:c r="E44" s="2"/>
      <x:c r="F44" s="2"/>
      <x:c r="G44" s="2"/>
      <x:c r="H44" s="2"/>
      <x:c r="I44" s="2"/>
      <x:c r="J44" s="1"/>
    </x:row>
    <x:row r="45" ht="25" customHeight="1">
      <x:c r="A45" s="1"/>
      <x:c r="B45" s="1"/>
      <x:c r="C45" s="1"/>
      <x:c r="D45" s="2"/>
      <x:c r="E45" s="2"/>
      <x:c r="F45" s="2"/>
      <x:c r="G45" s="2"/>
      <x:c r="H45" s="2"/>
      <x:c r="I45" s="2"/>
      <x:c r="J45" s="1"/>
    </x:row>
    <x:row r="46" ht="25" customHeight="1">
      <x:c r="A46" s="1"/>
      <x:c r="B46" s="1"/>
      <x:c r="C46" s="1"/>
      <x:c r="D46" s="2"/>
      <x:c r="E46" s="2"/>
      <x:c r="F46" s="2"/>
      <x:c r="G46" s="2"/>
      <x:c r="H46" s="2"/>
      <x:c r="I46" s="2"/>
      <x:c r="J46" s="1"/>
    </x:row>
    <x:row r="47" ht="25" customHeight="1">
      <x:c r="A47" s="1"/>
      <x:c r="B47" s="1"/>
      <x:c r="C47" s="1"/>
      <x:c r="D47" s="2"/>
      <x:c r="E47" s="2"/>
      <x:c r="F47" s="2"/>
      <x:c r="G47" s="2"/>
      <x:c r="H47" s="2"/>
      <x:c r="I47" s="2"/>
      <x:c r="J47" s="1"/>
    </x:row>
    <x:row r="48" ht="25" customHeight="1">
      <x:c r="A48" s="1"/>
      <x:c r="B48" s="1"/>
      <x:c r="C48" s="1"/>
      <x:c r="D48" s="2"/>
      <x:c r="E48" s="2"/>
      <x:c r="F48" s="2"/>
      <x:c r="G48" s="2"/>
      <x:c r="H48" s="2"/>
      <x:c r="I48" s="2"/>
      <x:c r="J48" s="1"/>
    </x:row>
    <x:row r="49" ht="25" customHeight="1">
      <x:c r="A49" s="1"/>
      <x:c r="B49" s="1"/>
      <x:c r="C49" s="1"/>
      <x:c r="D49" s="2"/>
      <x:c r="E49" s="2"/>
      <x:c r="F49" s="2"/>
      <x:c r="G49" s="2"/>
      <x:c r="H49" s="2"/>
      <x:c r="I49" s="2"/>
      <x:c r="J49" s="1"/>
    </x:row>
    <x:row r="50" ht="25" customHeight="1">
      <x:c r="A50" s="1"/>
      <x:c r="B50" s="1"/>
      <x:c r="C50" s="1"/>
      <x:c r="D50" s="2"/>
      <x:c r="E50" s="2"/>
      <x:c r="F50" s="2"/>
      <x:c r="G50" s="2"/>
      <x:c r="H50" s="2"/>
      <x:c r="I50" s="2"/>
      <x:c r="J50" s="1"/>
    </x:row>
    <x:row r="51" ht="25" customHeight="1">
      <x:c r="A51" s="1"/>
      <x:c r="B51" s="1"/>
      <x:c r="C51" s="1"/>
      <x:c r="D51" s="2"/>
      <x:c r="E51" s="2"/>
      <x:c r="F51" s="2"/>
      <x:c r="G51" s="2"/>
      <x:c r="H51" s="2"/>
      <x:c r="I51" s="2"/>
      <x:c r="J51" s="1"/>
    </x:row>
    <x:row r="52" ht="25" customHeight="1">
      <x:c r="A52" s="1"/>
      <x:c r="B52" s="1"/>
      <x:c r="C52" s="1"/>
      <x:c r="D52" s="2"/>
      <x:c r="E52" s="2"/>
      <x:c r="F52" s="2"/>
      <x:c r="G52" s="2"/>
      <x:c r="H52" s="2"/>
      <x:c r="I52" s="2"/>
      <x:c r="J52" s="1"/>
    </x:row>
    <x:row r="53" ht="25" customHeight="1">
      <x:c r="A53" s="1"/>
      <x:c r="B53" s="1"/>
      <x:c r="C53" s="1"/>
      <x:c r="D53" s="2"/>
      <x:c r="E53" s="2"/>
      <x:c r="F53" s="2"/>
      <x:c r="G53" s="2"/>
      <x:c r="H53" s="2"/>
      <x:c r="I53" s="2"/>
      <x:c r="J53" s="1"/>
    </x:row>
    <x:row r="54" ht="25" customHeight="1">
      <x:c r="A54" s="1"/>
      <x:c r="B54" s="1"/>
      <x:c r="C54" s="1"/>
      <x:c r="D54" s="2"/>
      <x:c r="E54" s="2"/>
      <x:c r="F54" s="2"/>
      <x:c r="G54" s="2"/>
      <x:c r="H54" s="2"/>
      <x:c r="I54" s="2"/>
      <x:c r="J54" s="1"/>
    </x:row>
    <x:row r="55" ht="25" customHeight="1">
      <x:c r="A55" s="1"/>
      <x:c r="B55" s="1"/>
      <x:c r="C55" s="1"/>
      <x:c r="D55" s="2"/>
      <x:c r="E55" s="2"/>
      <x:c r="F55" s="2"/>
      <x:c r="G55" s="2"/>
      <x:c r="H55" s="2"/>
      <x:c r="I55" s="2"/>
      <x:c r="J55" s="1"/>
    </x:row>
    <x:row r="56" ht="25" customHeight="1">
      <x:c r="A56" s="1"/>
      <x:c r="B56" s="1"/>
      <x:c r="C56" s="1"/>
      <x:c r="D56" s="2"/>
      <x:c r="E56" s="2"/>
      <x:c r="F56" s="2"/>
      <x:c r="G56" s="2"/>
      <x:c r="H56" s="2"/>
      <x:c r="I56" s="2"/>
      <x:c r="J56" s="1"/>
    </x:row>
    <x:row r="57" ht="25" customHeight="1">
      <x:c r="A57" s="1"/>
      <x:c r="B57" s="1"/>
      <x:c r="C57" s="1"/>
      <x:c r="D57" s="2"/>
      <x:c r="E57" s="2"/>
      <x:c r="F57" s="2"/>
      <x:c r="G57" s="2"/>
      <x:c r="H57" s="2"/>
      <x:c r="I57" s="2"/>
      <x:c r="J57" s="1"/>
    </x:row>
    <x:row r="58" ht="25" customHeight="1">
      <x:c r="A58" s="1"/>
      <x:c r="B58" s="1"/>
      <x:c r="C58" s="1"/>
      <x:c r="D58" s="2"/>
      <x:c r="E58" s="2"/>
      <x:c r="F58" s="2"/>
      <x:c r="G58" s="2"/>
      <x:c r="H58" s="2"/>
      <x:c r="I58" s="2"/>
      <x:c r="J58" s="1"/>
    </x:row>
    <x:row r="59" ht="25" customHeight="1">
      <x:c r="A59" s="1"/>
      <x:c r="B59" s="1"/>
      <x:c r="C59" s="1"/>
      <x:c r="D59" s="2"/>
      <x:c r="E59" s="2"/>
      <x:c r="F59" s="2"/>
      <x:c r="G59" s="2"/>
      <x:c r="H59" s="2"/>
      <x:c r="I59" s="2"/>
      <x:c r="J59" s="1"/>
    </x:row>
    <x:row r="60" ht="25" customHeight="1">
      <x:c r="A60" s="1"/>
      <x:c r="B60" s="1"/>
      <x:c r="C60" s="1"/>
      <x:c r="D60" s="2"/>
      <x:c r="E60" s="2"/>
      <x:c r="F60" s="2"/>
      <x:c r="G60" s="2"/>
      <x:c r="H60" s="2"/>
      <x:c r="I60" s="2"/>
      <x:c r="J60" s="1"/>
    </x:row>
    <x:row r="61" ht="25" customHeight="1">
      <x:c r="A61" s="1"/>
      <x:c r="B61" s="1"/>
      <x:c r="C61" s="1"/>
      <x:c r="D61" s="2"/>
      <x:c r="E61" s="2"/>
      <x:c r="F61" s="2"/>
      <x:c r="G61" s="2"/>
      <x:c r="H61" s="2"/>
      <x:c r="I61" s="2"/>
      <x:c r="J61" s="1"/>
    </x:row>
    <x:row r="62" ht="25" customHeight="1">
      <x:c r="A62" s="1"/>
      <x:c r="B62" s="1"/>
      <x:c r="C62" s="1"/>
      <x:c r="D62" s="2"/>
      <x:c r="E62" s="2"/>
      <x:c r="F62" s="2"/>
      <x:c r="G62" s="2"/>
      <x:c r="H62" s="2"/>
      <x:c r="I62" s="2"/>
      <x:c r="J62" s="1"/>
    </x:row>
    <x:row r="63" ht="25" customHeight="1">
      <x:c r="A63" s="1"/>
      <x:c r="B63" s="1"/>
      <x:c r="C63" s="1"/>
      <x:c r="D63" s="2"/>
      <x:c r="E63" s="2"/>
      <x:c r="F63" s="2"/>
      <x:c r="G63" s="2"/>
      <x:c r="H63" s="2"/>
      <x:c r="I63" s="2"/>
      <x:c r="J63" s="1"/>
    </x:row>
    <x:row r="64" ht="25" customHeight="1">
      <x:c r="A64" s="1"/>
      <x:c r="B64" s="1"/>
      <x:c r="C64" s="1"/>
      <x:c r="D64" s="2"/>
      <x:c r="E64" s="2"/>
      <x:c r="F64" s="2"/>
      <x:c r="G64" s="2"/>
      <x:c r="H64" s="2"/>
      <x:c r="I64" s="2"/>
      <x:c r="J64" s="1"/>
    </x:row>
    <x:row r="65" ht="25" customHeight="1">
      <x:c r="A65" s="1"/>
      <x:c r="B65" s="1"/>
      <x:c r="C65" s="1"/>
      <x:c r="D65" s="2"/>
      <x:c r="E65" s="2"/>
      <x:c r="F65" s="2"/>
      <x:c r="G65" s="2"/>
      <x:c r="H65" s="2"/>
      <x:c r="I65" s="2"/>
      <x:c r="J65" s="1"/>
    </x:row>
    <x:row r="66" ht="25" customHeight="1">
      <x:c r="A66" s="1"/>
      <x:c r="B66" s="1"/>
      <x:c r="C66" s="1"/>
      <x:c r="D66" s="2"/>
      <x:c r="E66" s="2"/>
      <x:c r="F66" s="2"/>
      <x:c r="G66" s="2"/>
      <x:c r="H66" s="2"/>
      <x:c r="I66" s="2"/>
      <x:c r="J66" s="1"/>
    </x:row>
    <x:row r="67" ht="25" customHeight="1">
      <x:c r="A67" s="1"/>
      <x:c r="B67" s="1"/>
      <x:c r="C67" s="1"/>
      <x:c r="D67" s="2"/>
      <x:c r="E67" s="2"/>
      <x:c r="F67" s="2"/>
      <x:c r="G67" s="2"/>
      <x:c r="H67" s="2"/>
      <x:c r="I67" s="2"/>
      <x:c r="J67" s="1"/>
    </x:row>
    <x:row r="68" ht="25" customHeight="1">
      <x:c r="A68" s="1"/>
      <x:c r="B68" s="1"/>
      <x:c r="C68" s="1"/>
      <x:c r="D68" s="2"/>
      <x:c r="E68" s="2"/>
      <x:c r="F68" s="2"/>
      <x:c r="G68" s="2"/>
      <x:c r="H68" s="2"/>
      <x:c r="I68" s="2"/>
      <x:c r="J68" s="1"/>
    </x:row>
    <x:row r="69" ht="25" customHeight="1">
      <x:c r="A69" s="1"/>
      <x:c r="B69" s="1"/>
      <x:c r="C69" s="1"/>
      <x:c r="D69" s="2"/>
      <x:c r="E69" s="2"/>
      <x:c r="F69" s="2"/>
      <x:c r="G69" s="2"/>
      <x:c r="H69" s="2"/>
      <x:c r="I69" s="2"/>
      <x:c r="J69" s="1"/>
    </x:row>
    <x:row r="70" ht="25" customHeight="1">
      <x:c r="A70" s="1"/>
      <x:c r="B70" s="1"/>
      <x:c r="C70" s="1"/>
      <x:c r="D70" s="2"/>
      <x:c r="E70" s="2"/>
      <x:c r="F70" s="2"/>
      <x:c r="G70" s="2"/>
      <x:c r="H70" s="2"/>
      <x:c r="I70" s="2"/>
      <x:c r="J70" s="1"/>
    </x:row>
    <x:row r="71" ht="25" customHeight="1">
      <x:c r="A71" s="1"/>
      <x:c r="B71" s="1"/>
      <x:c r="C71" s="1"/>
      <x:c r="D71" s="2"/>
      <x:c r="E71" s="2"/>
      <x:c r="F71" s="2"/>
      <x:c r="G71" s="2"/>
      <x:c r="H71" s="2"/>
      <x:c r="I71" s="2"/>
      <x:c r="J71" s="1"/>
    </x:row>
    <x:row r="72" ht="25" customHeight="1">
      <x:c r="A72" s="1"/>
      <x:c r="B72" s="1"/>
      <x:c r="C72" s="1"/>
      <x:c r="D72" s="2"/>
      <x:c r="E72" s="2"/>
      <x:c r="F72" s="2"/>
      <x:c r="G72" s="2"/>
      <x:c r="H72" s="2"/>
      <x:c r="I72" s="2"/>
      <x:c r="J72" s="1"/>
    </x:row>
    <x:row r="73" ht="25" customHeight="1">
      <x:c r="A73" s="1"/>
      <x:c r="B73" s="1"/>
      <x:c r="C73" s="1"/>
      <x:c r="D73" s="2"/>
      <x:c r="E73" s="2"/>
      <x:c r="F73" s="2"/>
      <x:c r="G73" s="2"/>
      <x:c r="H73" s="2"/>
      <x:c r="I73" s="2"/>
      <x:c r="J73" s="1"/>
    </x:row>
    <x:row r="74" ht="25" customHeight="1">
      <x:c r="A74" s="1"/>
      <x:c r="B74" s="1"/>
      <x:c r="C74" s="1"/>
      <x:c r="D74" s="2"/>
      <x:c r="E74" s="2"/>
      <x:c r="F74" s="2"/>
      <x:c r="G74" s="2"/>
      <x:c r="H74" s="2"/>
      <x:c r="I74" s="2"/>
      <x:c r="J74" s="1"/>
    </x:row>
    <x:row r="75" ht="25" customHeight="1">
      <x:c r="A75" s="1"/>
      <x:c r="B75" s="1"/>
      <x:c r="C75" s="1"/>
      <x:c r="D75" s="2"/>
      <x:c r="E75" s="2"/>
      <x:c r="F75" s="2"/>
      <x:c r="G75" s="2"/>
      <x:c r="H75" s="2"/>
      <x:c r="I75" s="2"/>
      <x:c r="J75" s="1"/>
    </x:row>
    <x:row r="76" ht="25" customHeight="1">
      <x:c r="A76" s="1"/>
      <x:c r="B76" s="1"/>
      <x:c r="C76" s="1"/>
      <x:c r="D76" s="2"/>
      <x:c r="E76" s="2"/>
      <x:c r="F76" s="2"/>
      <x:c r="G76" s="2"/>
      <x:c r="H76" s="2"/>
      <x:c r="I76" s="2"/>
      <x:c r="J76" s="1"/>
    </x:row>
    <x:row r="77" ht="25" customHeight="1">
      <x:c r="A77" s="1"/>
      <x:c r="B77" s="1"/>
      <x:c r="C77" s="1"/>
      <x:c r="D77" s="2"/>
      <x:c r="E77" s="2"/>
      <x:c r="F77" s="2"/>
      <x:c r="G77" s="2"/>
      <x:c r="H77" s="2"/>
      <x:c r="I77" s="2"/>
      <x:c r="J77" s="1"/>
    </x:row>
    <x:row r="78" ht="25" customHeight="1">
      <x:c r="A78" s="1"/>
      <x:c r="B78" s="1"/>
      <x:c r="C78" s="1"/>
      <x:c r="D78" s="2"/>
      <x:c r="E78" s="2"/>
      <x:c r="F78" s="2"/>
      <x:c r="G78" s="2"/>
      <x:c r="H78" s="2"/>
      <x:c r="I78" s="2"/>
      <x:c r="J78" s="1"/>
    </x:row>
    <x:row r="79" ht="25" customHeight="1">
      <x:c r="A79" s="1"/>
      <x:c r="B79" s="1"/>
      <x:c r="C79" s="1"/>
      <x:c r="D79" s="2"/>
      <x:c r="E79" s="2"/>
      <x:c r="F79" s="2"/>
      <x:c r="G79" s="2"/>
      <x:c r="H79" s="2"/>
      <x:c r="I79" s="2"/>
      <x:c r="J79" s="1"/>
    </x:row>
    <x:row r="80" ht="25" customHeight="1">
      <x:c r="A80" s="1"/>
      <x:c r="B80" s="1"/>
      <x:c r="C80" s="1"/>
      <x:c r="D80" s="2"/>
      <x:c r="E80" s="2"/>
      <x:c r="F80" s="2"/>
      <x:c r="G80" s="2"/>
      <x:c r="H80" s="2"/>
      <x:c r="I80" s="2"/>
      <x:c r="J80" s="1"/>
    </x:row>
    <x:row r="81" ht="25" customHeight="1">
      <x:c r="A81" s="1"/>
      <x:c r="B81" s="1"/>
      <x:c r="C81" s="1"/>
      <x:c r="D81" s="2"/>
      <x:c r="E81" s="2"/>
      <x:c r="F81" s="2"/>
      <x:c r="G81" s="2"/>
      <x:c r="H81" s="2"/>
      <x:c r="I81" s="2"/>
      <x:c r="J81" s="1"/>
    </x:row>
    <x:row r="82" ht="25" customHeight="1">
      <x:c r="A82" s="1"/>
      <x:c r="B82" s="1"/>
      <x:c r="C82" s="1"/>
      <x:c r="D82" s="2"/>
      <x:c r="E82" s="2"/>
      <x:c r="F82" s="2"/>
      <x:c r="G82" s="2"/>
      <x:c r="H82" s="2"/>
      <x:c r="I82" s="2"/>
      <x:c r="J82" s="1"/>
    </x:row>
    <x:row r="83" ht="25" customHeight="1">
      <x:c r="A83" s="1"/>
      <x:c r="B83" s="1"/>
      <x:c r="C83" s="1"/>
      <x:c r="D83" s="2"/>
      <x:c r="E83" s="2"/>
      <x:c r="F83" s="2"/>
      <x:c r="G83" s="2"/>
      <x:c r="H83" s="2"/>
      <x:c r="I83" s="2"/>
      <x:c r="J83" s="1"/>
    </x:row>
    <x:row r="84" ht="25" customHeight="1">
      <x:c r="A84" s="1"/>
      <x:c r="B84" s="1"/>
      <x:c r="C84" s="1"/>
      <x:c r="D84" s="2"/>
      <x:c r="E84" s="2"/>
      <x:c r="F84" s="2"/>
      <x:c r="G84" s="2"/>
      <x:c r="H84" s="2"/>
      <x:c r="I84" s="2"/>
      <x:c r="J84" s="1"/>
    </x:row>
    <x:row r="85" ht="25" customHeight="1">
      <x:c r="A85" s="1"/>
      <x:c r="B85" s="1"/>
      <x:c r="C85" s="1"/>
      <x:c r="D85" s="2"/>
      <x:c r="E85" s="2"/>
      <x:c r="F85" s="2"/>
      <x:c r="G85" s="2"/>
      <x:c r="H85" s="2"/>
      <x:c r="I85" s="2"/>
      <x:c r="J85" s="1"/>
    </x:row>
    <x:row r="86" ht="25" customHeight="1">
      <x:c r="A86" s="1"/>
      <x:c r="B86" s="1"/>
      <x:c r="C86" s="1"/>
      <x:c r="D86" s="2"/>
      <x:c r="E86" s="2"/>
      <x:c r="F86" s="2"/>
      <x:c r="G86" s="2"/>
      <x:c r="H86" s="2"/>
      <x:c r="I86" s="2"/>
      <x:c r="J86" s="1"/>
    </x:row>
    <x:row r="87" ht="25" customHeight="1">
      <x:c r="A87" s="1"/>
      <x:c r="B87" s="1"/>
      <x:c r="C87" s="1"/>
      <x:c r="D87" s="2"/>
      <x:c r="E87" s="2"/>
      <x:c r="F87" s="2"/>
      <x:c r="G87" s="2"/>
      <x:c r="H87" s="2"/>
      <x:c r="I87" s="2"/>
      <x:c r="J87" s="1"/>
    </x:row>
    <x:row r="88" ht="25" customHeight="1">
      <x:c r="A88" s="1"/>
      <x:c r="B88" s="1"/>
      <x:c r="C88" s="1"/>
      <x:c r="D88" s="2"/>
      <x:c r="E88" s="2"/>
      <x:c r="F88" s="2"/>
      <x:c r="G88" s="2"/>
      <x:c r="H88" s="2"/>
      <x:c r="I88" s="2"/>
      <x:c r="J88" s="1"/>
    </x:row>
    <x:row r="89" ht="25" customHeight="1">
      <x:c r="A89" s="1"/>
      <x:c r="B89" s="1"/>
      <x:c r="C89" s="1"/>
      <x:c r="D89" s="2"/>
      <x:c r="E89" s="2"/>
      <x:c r="F89" s="2"/>
      <x:c r="G89" s="2"/>
      <x:c r="H89" s="2"/>
      <x:c r="I89" s="2"/>
      <x:c r="J89" s="1"/>
    </x:row>
    <x:row r="90" ht="25" customHeight="1">
      <x:c r="A90" s="1"/>
      <x:c r="B90" s="1"/>
      <x:c r="C90" s="1"/>
      <x:c r="D90" s="2"/>
      <x:c r="E90" s="2"/>
      <x:c r="F90" s="2"/>
      <x:c r="G90" s="2"/>
      <x:c r="H90" s="2"/>
      <x:c r="I90" s="2"/>
      <x:c r="J90" s="1"/>
    </x:row>
    <x:row r="91" ht="25" customHeight="1">
      <x:c r="A91" s="1"/>
      <x:c r="B91" s="1"/>
      <x:c r="C91" s="1"/>
      <x:c r="D91" s="2"/>
      <x:c r="E91" s="2"/>
      <x:c r="F91" s="2"/>
      <x:c r="G91" s="2"/>
      <x:c r="H91" s="2"/>
      <x:c r="I91" s="2"/>
      <x:c r="J91" s="1"/>
    </x:row>
    <x:row r="92" ht="25" customHeight="1">
      <x:c r="A92" s="1"/>
      <x:c r="B92" s="1"/>
      <x:c r="C92" s="1"/>
      <x:c r="D92" s="2"/>
      <x:c r="E92" s="2"/>
      <x:c r="F92" s="2"/>
      <x:c r="G92" s="2"/>
      <x:c r="H92" s="2"/>
      <x:c r="I92" s="2"/>
      <x:c r="J92" s="1"/>
    </x:row>
    <x:row r="93" ht="25" customHeight="1">
      <x:c r="A93" s="1"/>
      <x:c r="B93" s="1"/>
      <x:c r="C93" s="1"/>
      <x:c r="D93" s="2"/>
      <x:c r="E93" s="2"/>
      <x:c r="F93" s="2"/>
      <x:c r="G93" s="2"/>
      <x:c r="H93" s="2"/>
      <x:c r="I93" s="2"/>
      <x:c r="J93" s="1"/>
    </x:row>
    <x:row r="94" ht="25" customHeight="1">
      <x:c r="A94" s="1"/>
      <x:c r="B94" s="1"/>
      <x:c r="C94" s="1"/>
      <x:c r="D94" s="2"/>
      <x:c r="E94" s="2"/>
      <x:c r="F94" s="2"/>
      <x:c r="G94" s="2"/>
      <x:c r="H94" s="2"/>
      <x:c r="I94" s="2"/>
      <x:c r="J94" s="1"/>
    </x:row>
    <x:row r="95" ht="25" customHeight="1">
      <x:c r="A95" s="1"/>
      <x:c r="B95" s="1"/>
      <x:c r="C95" s="1"/>
      <x:c r="D95" s="2"/>
      <x:c r="E95" s="2"/>
      <x:c r="F95" s="2"/>
      <x:c r="G95" s="2"/>
      <x:c r="H95" s="2"/>
      <x:c r="I95" s="2"/>
      <x:c r="J95" s="1"/>
    </x:row>
    <x:row r="96" ht="25" customHeight="1">
      <x:c r="A96" s="1"/>
      <x:c r="B96" s="1"/>
      <x:c r="C96" s="1"/>
      <x:c r="D96" s="2"/>
      <x:c r="E96" s="2"/>
      <x:c r="F96" s="2"/>
      <x:c r="G96" s="2"/>
      <x:c r="H96" s="2"/>
      <x:c r="I96" s="2"/>
      <x:c r="J96" s="1"/>
    </x:row>
    <x:row r="97" ht="25" customHeight="1">
      <x:c r="A97" s="1"/>
      <x:c r="B97" s="1"/>
      <x:c r="C97" s="1"/>
      <x:c r="D97" s="2"/>
      <x:c r="E97" s="2"/>
      <x:c r="F97" s="2"/>
      <x:c r="G97" s="2"/>
      <x:c r="H97" s="2"/>
      <x:c r="I97" s="2"/>
      <x:c r="J97" s="1"/>
    </x:row>
    <x:row r="98" ht="25" customHeight="1">
      <x:c r="A98" s="1"/>
      <x:c r="B98" s="1"/>
      <x:c r="C98" s="1"/>
      <x:c r="D98" s="2"/>
      <x:c r="E98" s="2"/>
      <x:c r="F98" s="2"/>
      <x:c r="G98" s="2"/>
      <x:c r="H98" s="2"/>
      <x:c r="I98" s="2"/>
      <x:c r="J98" s="1"/>
    </x:row>
    <x:row r="99" ht="25" customHeight="1">
      <x:c r="A99" s="1"/>
      <x:c r="B99" s="1"/>
      <x:c r="C99" s="1"/>
      <x:c r="D99" s="2"/>
      <x:c r="E99" s="2"/>
      <x:c r="F99" s="2"/>
      <x:c r="G99" s="2"/>
      <x:c r="H99" s="2"/>
      <x:c r="I99" s="2"/>
      <x:c r="J99" s="1"/>
    </x:row>
    <x:row r="100" ht="25" customHeight="1">
      <x:c r="A100" s="1"/>
      <x:c r="B100" s="1"/>
      <x:c r="C100" s="1"/>
      <x:c r="D100" s="2"/>
      <x:c r="E100" s="2"/>
      <x:c r="F100" s="2"/>
      <x:c r="G100" s="2"/>
      <x:c r="H100" s="2"/>
      <x:c r="I100" s="2"/>
      <x:c r="J100" s="1"/>
    </x:row>
  </x:sheetData>
  <x:mergeCells>
    <x:mergeCell ref="C2:I2"/>
    <x:mergeCell ref="C5:I5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Pr>
    <x:tabColor rgb="FF16473E"/>
  </x:sheetPr>
  <x:sheetViews>
    <x:sheetView showGridLines="0" workbookViewId="0">
      <x:pane xSplit="4" ySplit="6" topLeftCell="E7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43" hidden="0" customWidth="1"/>
    <x:col min="4" max="4" width="19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44" customHeight="1">
      <x:c r="A2" s="1"/>
      <x:c r="B2" s="1"/>
      <x:c r="C2" s="6" t="str">
        <x:v>History</x:v>
      </x:c>
      <x:c r="D2" s="6"/>
      <x:c r="E2" s="6"/>
      <x:c r="F2" s="6"/>
      <x:c r="G2" s="6"/>
      <x:c r="H2" s="6"/>
      <x:c r="I2" s="6"/>
      <x:c r="J2" s="1"/>
    </x:row>
    <x:row r="3" ht="25" customHeight="1">
      <x:c r="A3" s="1"/>
      <x:c r="B3" s="1"/>
      <x:c r="C3" s="1" t="str">
        <x:v>Selected case</x:v>
      </x:c>
      <x:c r="D3" s="8" t="str">
        <x:f>IFERROR(IFERROR(CHOOSE('Assumptions'!$D$6,"Base","Downside","Upside"),"Invalid case"),"Incomplete")</x:f>
        <x:v>Base</x:v>
      </x:c>
      <x:c r="E3" s="1"/>
      <x:c r="F3" s="1"/>
      <x:c r="G3" s="1"/>
      <x:c r="H3" s="1"/>
      <x:c r="I3" s="1"/>
      <x:c r="J3" s="1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25" customHeight="1">
      <x:c r="A5" s="1"/>
      <x:c r="B5" s="1"/>
      <x:c r="C5" s="7" t="str">
        <x:v>USD thousands unless stated</x:v>
      </x:c>
      <x:c r="D5" s="7"/>
      <x:c r="E5" s="7"/>
      <x:c r="F5" s="7"/>
      <x:c r="G5" s="7"/>
      <x:c r="H5" s="7"/>
      <x:c r="I5" s="7"/>
      <x:c r="J5" s="1"/>
    </x:row>
    <x:row r="6" ht="25" customHeight="1">
      <x:c r="A6" s="1"/>
      <x:c r="B6" s="1"/>
      <x:c r="C6" s="1" t="str">
        <x:v>Year</x:v>
      </x:c>
      <x:c r="D6" s="43"/>
      <x:c r="E6" s="43"/>
      <x:c r="F6" s="44" t="n">
        <x:v>2026</x:v>
      </x:c>
      <x:c r="G6" s="2"/>
      <x:c r="H6" s="2"/>
      <x:c r="I6" s="2"/>
      <x:c r="J6" s="1"/>
    </x:row>
    <x:row r="7" ht="25" customHeight="1">
      <x:c r="A7" s="1"/>
      <x:c r="B7" s="1"/>
      <x:c r="C7" s="1"/>
      <x:c r="D7" s="2"/>
      <x:c r="E7" s="2"/>
      <x:c r="F7" s="2"/>
      <x:c r="G7" s="2"/>
      <x:c r="H7" s="2"/>
      <x:c r="I7" s="2"/>
      <x:c r="J7" s="1"/>
    </x:row>
    <x:row r="8" ht="25" customHeight="1">
      <x:c r="A8" s="1"/>
      <x:c r="B8" s="1"/>
      <x:c r="C8" s="9"/>
      <x:c r="D8" s="10"/>
      <x:c r="E8" s="16"/>
      <x:c r="F8" s="16"/>
      <x:c r="G8" s="16"/>
      <x:c r="H8" s="16"/>
      <x:c r="I8" s="16"/>
      <x:c r="J8" s="1"/>
    </x:row>
    <x:row r="9" ht="25" customHeight="1">
      <x:c r="A9" s="1"/>
      <x:c r="B9" s="1"/>
      <x:c r="C9" s="1"/>
      <x:c r="D9" s="2"/>
      <x:c r="E9" s="13"/>
      <x:c r="F9" s="13"/>
      <x:c r="G9" s="13"/>
      <x:c r="H9" s="13"/>
      <x:c r="I9" s="13"/>
      <x:c r="J9" s="1"/>
    </x:row>
    <x:row r="10" ht="25" customHeight="1">
      <x:c r="A10" s="1"/>
      <x:c r="B10" s="1"/>
      <x:c r="C10" s="1" t="str">
        <x:v>Volume, thousand units</x:v>
      </x:c>
      <x:c r="D10" s="2"/>
      <x:c r="E10" s="2"/>
      <x:c r="F10" s="14" t="n">
        <x:v>8</x:v>
      </x:c>
      <x:c r="G10" s="2"/>
      <x:c r="H10" s="2"/>
      <x:c r="I10" s="2"/>
      <x:c r="J10" s="1"/>
    </x:row>
    <x:row r="11" ht="25" customHeight="1">
      <x:c r="A11" s="1"/>
      <x:c r="B11" s="1"/>
      <x:c r="C11" s="1" t="str">
        <x:v>Price, USD per unit</x:v>
      </x:c>
      <x:c r="D11" s="2"/>
      <x:c r="E11" s="2"/>
      <x:c r="F11" s="14" t="n">
        <x:v>125</x:v>
      </x:c>
      <x:c r="G11" s="2"/>
      <x:c r="H11" s="2"/>
      <x:c r="I11" s="2"/>
      <x:c r="J11" s="1"/>
    </x:row>
    <x:row r="12" ht="25" customHeight="1">
      <x:c r="A12" s="1"/>
      <x:c r="B12" s="1"/>
      <x:c r="C12" s="1" t="str">
        <x:v>Revenue</x:v>
      </x:c>
      <x:c r="D12" s="2"/>
      <x:c r="E12" s="2"/>
      <x:c r="F12" s="14" t="n">
        <x:v>1000</x:v>
      </x:c>
      <x:c r="G12" s="2"/>
      <x:c r="H12" s="2"/>
      <x:c r="I12" s="2"/>
      <x:c r="J12" s="1"/>
    </x:row>
    <x:row r="13" ht="25" customHeight="1">
      <x:c r="A13" s="1"/>
      <x:c r="B13" s="1"/>
      <x:c r="C13" s="1" t="str">
        <x:v>COGS</x:v>
      </x:c>
      <x:c r="D13" s="2"/>
      <x:c r="E13" s="2"/>
      <x:c r="F13" s="2"/>
      <x:c r="G13" s="2"/>
      <x:c r="H13" s="2"/>
      <x:c r="I13" s="2"/>
      <x:c r="J13" s="1"/>
    </x:row>
    <x:row r="14" ht="25" customHeight="1">
      <x:c r="A14" s="1"/>
      <x:c r="B14" s="1"/>
      <x:c r="C14" s="1" t="str">
        <x:v>Cash operating expenses</x:v>
      </x:c>
      <x:c r="D14" s="2"/>
      <x:c r="E14" s="2"/>
      <x:c r="F14" s="2"/>
      <x:c r="G14" s="2"/>
      <x:c r="H14" s="2"/>
      <x:c r="I14" s="2"/>
      <x:c r="J14" s="1"/>
    </x:row>
    <x:row r="15" ht="25" customHeight="1">
      <x:c r="A15" s="1"/>
      <x:c r="B15" s="1"/>
      <x:c r="C15" s="1" t="str">
        <x:v>EBITDA</x:v>
      </x:c>
      <x:c r="D15" s="2"/>
      <x:c r="E15" s="2"/>
      <x:c r="F15" s="2"/>
      <x:c r="G15" s="2"/>
      <x:c r="H15" s="2"/>
      <x:c r="I15" s="2"/>
      <x:c r="J15" s="1"/>
    </x:row>
    <x:row r="16" ht="25" customHeight="1">
      <x:c r="A16" s="1"/>
      <x:c r="B16" s="1"/>
      <x:c r="C16" s="1" t="str">
        <x:v>Depreciation</x:v>
      </x:c>
      <x:c r="D16" s="2"/>
      <x:c r="E16" s="2"/>
      <x:c r="F16" s="2"/>
      <x:c r="G16" s="2"/>
      <x:c r="H16" s="2"/>
      <x:c r="I16" s="2"/>
      <x:c r="J16" s="1"/>
    </x:row>
    <x:row r="17" ht="25" customHeight="1">
      <x:c r="A17" s="1"/>
      <x:c r="B17" s="1"/>
      <x:c r="C17" s="1" t="str">
        <x:v>Amortization</x:v>
      </x:c>
      <x:c r="D17" s="2"/>
      <x:c r="E17" s="2"/>
      <x:c r="F17" s="2"/>
      <x:c r="G17" s="2"/>
      <x:c r="H17" s="2"/>
      <x:c r="I17" s="2"/>
      <x:c r="J17" s="1"/>
    </x:row>
    <x:row r="18" ht="25" customHeight="1">
      <x:c r="A18" s="1"/>
      <x:c r="B18" s="1"/>
      <x:c r="C18" s="1" t="str">
        <x:v>Interest</x:v>
      </x:c>
      <x:c r="D18" s="2"/>
      <x:c r="E18" s="2"/>
      <x:c r="F18" s="2"/>
      <x:c r="G18" s="2"/>
      <x:c r="H18" s="2"/>
      <x:c r="I18" s="2"/>
      <x:c r="J18" s="1"/>
    </x:row>
    <x:row r="19" ht="25" customHeight="1">
      <x:c r="A19" s="1"/>
      <x:c r="B19" s="1"/>
      <x:c r="C19" s="1" t="str">
        <x:v>Pretax income</x:v>
      </x:c>
      <x:c r="D19" s="2"/>
      <x:c r="E19" s="2"/>
      <x:c r="F19" s="2"/>
      <x:c r="G19" s="2"/>
      <x:c r="H19" s="2"/>
      <x:c r="I19" s="2"/>
      <x:c r="J19" s="1"/>
    </x:row>
    <x:row r="20" ht="25" customHeight="1">
      <x:c r="A20" s="1"/>
      <x:c r="B20" s="1"/>
      <x:c r="C20" s="1" t="str">
        <x:v>Tax expense</x:v>
      </x:c>
      <x:c r="D20" s="2"/>
      <x:c r="E20" s="2"/>
      <x:c r="F20" s="2"/>
      <x:c r="G20" s="2"/>
      <x:c r="H20" s="2"/>
      <x:c r="I20" s="2"/>
      <x:c r="J20" s="1"/>
    </x:row>
    <x:row r="21" ht="25" customHeight="1">
      <x:c r="A21" s="1"/>
      <x:c r="B21" s="1"/>
      <x:c r="C21" s="1" t="str">
        <x:v>Net income</x:v>
      </x:c>
      <x:c r="D21" s="2"/>
      <x:c r="E21" s="2"/>
      <x:c r="F21" s="2"/>
      <x:c r="G21" s="2"/>
      <x:c r="H21" s="2"/>
      <x:c r="I21" s="2"/>
      <x:c r="J21" s="1"/>
    </x:row>
    <x:row r="22" ht="25" customHeight="1">
      <x:c r="A22" s="1"/>
      <x:c r="B22" s="1"/>
      <x:c r="C22" s="1" t="str">
        <x:v>Receivables</x:v>
      </x:c>
      <x:c r="D22" s="2"/>
      <x:c r="E22" s="2"/>
      <x:c r="F22" s="14" t="n">
        <x:v>160</x:v>
      </x:c>
      <x:c r="G22" s="2"/>
      <x:c r="H22" s="2"/>
      <x:c r="I22" s="2"/>
      <x:c r="J22" s="1"/>
    </x:row>
    <x:row r="23" ht="25" customHeight="1">
      <x:c r="A23" s="1"/>
      <x:c r="B23" s="1"/>
      <x:c r="C23" s="1" t="str">
        <x:v>Inventory</x:v>
      </x:c>
      <x:c r="D23" s="2"/>
      <x:c r="E23" s="2"/>
      <x:c r="F23" s="14" t="n">
        <x:v>125</x:v>
      </x:c>
      <x:c r="G23" s="2"/>
      <x:c r="H23" s="2"/>
      <x:c r="I23" s="2"/>
      <x:c r="J23" s="1"/>
    </x:row>
    <x:row r="24" ht="25" customHeight="1">
      <x:c r="A24" s="1"/>
      <x:c r="B24" s="1"/>
      <x:c r="C24" s="1" t="str">
        <x:v>Prepaids</x:v>
      </x:c>
      <x:c r="D24" s="2"/>
      <x:c r="E24" s="2"/>
      <x:c r="F24" s="14" t="n">
        <x:v>15</x:v>
      </x:c>
      <x:c r="G24" s="2"/>
      <x:c r="H24" s="2"/>
      <x:c r="I24" s="2"/>
      <x:c r="J24" s="1"/>
    </x:row>
    <x:row r="25" ht="25" customHeight="1">
      <x:c r="A25" s="1"/>
      <x:c r="B25" s="1"/>
      <x:c r="C25" s="1" t="str">
        <x:v>Payables</x:v>
      </x:c>
      <x:c r="D25" s="2"/>
      <x:c r="E25" s="2"/>
      <x:c r="F25" s="14" t="n">
        <x:v>85</x:v>
      </x:c>
      <x:c r="G25" s="2"/>
      <x:c r="H25" s="2"/>
      <x:c r="I25" s="2"/>
      <x:c r="J25" s="1"/>
    </x:row>
    <x:row r="26" ht="25" customHeight="1">
      <x:c r="A26" s="1"/>
      <x:c r="B26" s="1"/>
      <x:c r="C26" s="1" t="str">
        <x:v>Accruals</x:v>
      </x:c>
      <x:c r="D26" s="2"/>
      <x:c r="E26" s="2"/>
      <x:c r="F26" s="14" t="n">
        <x:v>25</x:v>
      </x:c>
      <x:c r="G26" s="2"/>
      <x:c r="H26" s="2"/>
      <x:c r="I26" s="2"/>
      <x:c r="J26" s="1"/>
    </x:row>
    <x:row r="27" ht="25" customHeight="1">
      <x:c r="A27" s="1"/>
      <x:c r="B27" s="1"/>
      <x:c r="C27" s="1" t="str">
        <x:v>Tax payable</x:v>
      </x:c>
      <x:c r="D27" s="2"/>
      <x:c r="E27" s="2"/>
      <x:c r="F27" s="14" t="n">
        <x:v>8</x:v>
      </x:c>
      <x:c r="G27" s="2"/>
      <x:c r="H27" s="2"/>
      <x:c r="I27" s="2"/>
      <x:c r="J27" s="1"/>
    </x:row>
    <x:row r="28" ht="25" customHeight="1">
      <x:c r="A28" s="1"/>
      <x:c r="B28" s="1"/>
      <x:c r="C28" s="1" t="str">
        <x:v>Cash</x:v>
      </x:c>
      <x:c r="D28" s="2"/>
      <x:c r="E28" s="2"/>
      <x:c r="F28" s="14" t="n">
        <x:v>95</x:v>
      </x:c>
      <x:c r="G28" s="2"/>
      <x:c r="H28" s="2"/>
      <x:c r="I28" s="2"/>
      <x:c r="J28" s="1"/>
    </x:row>
    <x:row r="29" ht="25" customHeight="1">
      <x:c r="A29" s="1"/>
      <x:c r="B29" s="1"/>
      <x:c r="C29" s="1" t="str">
        <x:v>Net PP&amp;E</x:v>
      </x:c>
      <x:c r="D29" s="2"/>
      <x:c r="E29" s="2"/>
      <x:c r="F29" s="14" t="n">
        <x:v>320</x:v>
      </x:c>
      <x:c r="G29" s="2"/>
      <x:c r="H29" s="2"/>
      <x:c r="I29" s="2"/>
      <x:c r="J29" s="1"/>
    </x:row>
    <x:row r="30" ht="25" customHeight="1">
      <x:c r="A30" s="1"/>
      <x:c r="B30" s="1"/>
      <x:c r="C30" s="1" t="str">
        <x:v>Net software</x:v>
      </x:c>
      <x:c r="D30" s="2"/>
      <x:c r="E30" s="2"/>
      <x:c r="F30" s="14" t="n">
        <x:v>48</x:v>
      </x:c>
      <x:c r="G30" s="2"/>
      <x:c r="H30" s="2"/>
      <x:c r="I30" s="2"/>
      <x:c r="J30" s="1"/>
    </x:row>
    <x:row r="31" ht="25" customHeight="1">
      <x:c r="A31" s="1"/>
      <x:c r="B31" s="1"/>
      <x:c r="C31" s="1" t="str">
        <x:v>Term debt</x:v>
      </x:c>
      <x:c r="D31" s="2"/>
      <x:c r="E31" s="2"/>
      <x:c r="F31" s="14" t="n">
        <x:v>180</x:v>
      </x:c>
      <x:c r="G31" s="2"/>
      <x:c r="H31" s="2"/>
      <x:c r="I31" s="2"/>
      <x:c r="J31" s="1"/>
    </x:row>
    <x:row r="32" ht="25" customHeight="1">
      <x:c r="A32" s="1"/>
      <x:c r="B32" s="1"/>
      <x:c r="C32" s="1" t="str">
        <x:v>Revolver</x:v>
      </x:c>
      <x:c r="D32" s="2"/>
      <x:c r="E32" s="2"/>
      <x:c r="F32" s="14" t="n">
        <x:v>20</x:v>
      </x:c>
      <x:c r="G32" s="2"/>
      <x:c r="H32" s="2"/>
      <x:c r="I32" s="2"/>
      <x:c r="J32" s="1"/>
    </x:row>
    <x:row r="33" ht="25" customHeight="1">
      <x:c r="A33" s="1"/>
      <x:c r="B33" s="1"/>
      <x:c r="C33" s="1" t="str">
        <x:v>Paid-in capital</x:v>
      </x:c>
      <x:c r="D33" s="2"/>
      <x:c r="E33" s="2"/>
      <x:c r="F33" s="14" t="n">
        <x:v>180</x:v>
      </x:c>
      <x:c r="G33" s="2"/>
      <x:c r="H33" s="2"/>
      <x:c r="I33" s="2"/>
      <x:c r="J33" s="1"/>
    </x:row>
    <x:row r="34" ht="25" customHeight="1">
      <x:c r="A34" s="1"/>
      <x:c r="B34" s="1"/>
      <x:c r="C34" s="1" t="str">
        <x:v>Retained earnings</x:v>
      </x:c>
      <x:c r="D34" s="2"/>
      <x:c r="E34" s="2"/>
      <x:c r="F34" s="14" t="n">
        <x:v>265</x:v>
      </x:c>
      <x:c r="G34" s="2"/>
      <x:c r="H34" s="2"/>
      <x:c r="I34" s="2"/>
      <x:c r="J34" s="1"/>
    </x:row>
    <x:row r="35" ht="25" customHeight="1">
      <x:c r="A35" s="1"/>
      <x:c r="B35" s="1"/>
      <x:c r="C35" s="1" t="str">
        <x:v>Gross PP&amp;E</x:v>
      </x:c>
      <x:c r="D35" s="2"/>
      <x:c r="E35" s="2"/>
      <x:c r="F35" s="14" t="n">
        <x:v>500</x:v>
      </x:c>
      <x:c r="G35" s="2"/>
      <x:c r="H35" s="2"/>
      <x:c r="I35" s="2"/>
      <x:c r="J35" s="1"/>
    </x:row>
    <x:row r="36" ht="25" customHeight="1">
      <x:c r="A36" s="1"/>
      <x:c r="B36" s="1"/>
      <x:c r="C36" s="1" t="str">
        <x:v>Accumulated depreciation</x:v>
      </x:c>
      <x:c r="D36" s="2"/>
      <x:c r="E36" s="2"/>
      <x:c r="F36" s="14" t="n">
        <x:v>180</x:v>
      </x:c>
      <x:c r="G36" s="2"/>
      <x:c r="H36" s="2"/>
      <x:c r="I36" s="2"/>
      <x:c r="J36" s="1"/>
    </x:row>
    <x:row r="37" ht="25" customHeight="1">
      <x:c r="A37" s="1"/>
      <x:c r="B37" s="1"/>
      <x:c r="C37" s="1" t="str">
        <x:v>Gross software</x:v>
      </x:c>
      <x:c r="D37" s="2"/>
      <x:c r="E37" s="2"/>
      <x:c r="F37" s="14" t="n">
        <x:v>80</x:v>
      </x:c>
      <x:c r="G37" s="2"/>
      <x:c r="H37" s="2"/>
      <x:c r="I37" s="2"/>
      <x:c r="J37" s="1"/>
    </x:row>
    <x:row r="38" ht="25" customHeight="1">
      <x:c r="A38" s="1"/>
      <x:c r="B38" s="1"/>
      <x:c r="C38" s="1" t="str">
        <x:v>Accumulated amortization</x:v>
      </x:c>
      <x:c r="D38" s="2"/>
      <x:c r="E38" s="2"/>
      <x:c r="F38" s="14" t="n">
        <x:v>32</x:v>
      </x:c>
      <x:c r="G38" s="2"/>
      <x:c r="H38" s="2"/>
      <x:c r="I38" s="2"/>
      <x:c r="J38" s="1"/>
    </x:row>
    <x:row r="39" ht="25" customHeight="1">
      <x:c r="A39" s="1"/>
      <x:c r="B39" s="1"/>
      <x:c r="C39" s="1" t="str">
        <x:v>Operating cash flow</x:v>
      </x:c>
      <x:c r="D39" s="2"/>
      <x:c r="E39" s="2"/>
      <x:c r="F39" s="2"/>
      <x:c r="G39" s="2"/>
      <x:c r="H39" s="2"/>
      <x:c r="I39" s="2"/>
      <x:c r="J39" s="1"/>
    </x:row>
    <x:row r="40" ht="25" customHeight="1">
      <x:c r="A40" s="1"/>
      <x:c r="B40" s="1"/>
      <x:c r="C40" s="1" t="str">
        <x:v>Investing cash flow</x:v>
      </x:c>
      <x:c r="D40" s="2"/>
      <x:c r="E40" s="2"/>
      <x:c r="F40" s="2"/>
      <x:c r="G40" s="2"/>
      <x:c r="H40" s="2"/>
      <x:c r="I40" s="2"/>
      <x:c r="J40" s="1"/>
    </x:row>
    <x:row r="41" ht="25" customHeight="1">
      <x:c r="A41" s="1"/>
      <x:c r="B41" s="1"/>
      <x:c r="C41" s="1" t="str">
        <x:v>Financing cash flow</x:v>
      </x:c>
      <x:c r="D41" s="2"/>
      <x:c r="E41" s="2"/>
      <x:c r="F41" s="2"/>
      <x:c r="G41" s="2"/>
      <x:c r="H41" s="2"/>
      <x:c r="I41" s="2"/>
      <x:c r="J41" s="1"/>
    </x:row>
    <x:row r="42" ht="25" customHeight="1">
      <x:c r="A42" s="1"/>
      <x:c r="B42" s="1"/>
      <x:c r="C42" s="1" t="str">
        <x:v>Operating WC cash adjustment</x:v>
      </x:c>
      <x:c r="D42" s="2"/>
      <x:c r="E42" s="2"/>
      <x:c r="F42" s="2"/>
      <x:c r="G42" s="2"/>
      <x:c r="H42" s="2"/>
      <x:c r="I42" s="2"/>
      <x:c r="J42" s="1"/>
    </x:row>
    <x:row r="43" ht="25" customHeight="1">
      <x:c r="A43" s="1"/>
      <x:c r="B43" s="1"/>
      <x:c r="C43" s="1" t="str">
        <x:v>Cash tax paid</x:v>
      </x:c>
      <x:c r="D43" s="2"/>
      <x:c r="E43" s="2"/>
      <x:c r="F43" s="2"/>
      <x:c r="G43" s="2"/>
      <x:c r="H43" s="2"/>
      <x:c r="I43" s="2"/>
      <x:c r="J43" s="1"/>
    </x:row>
    <x:row r="44" ht="25" customHeight="1">
      <x:c r="A44" s="1"/>
      <x:c r="B44" s="1"/>
      <x:c r="C44" s="1" t="str">
        <x:v>Cash PP&amp;E additions</x:v>
      </x:c>
      <x:c r="D44" s="2"/>
      <x:c r="E44" s="2"/>
      <x:c r="F44" s="2"/>
      <x:c r="G44" s="2"/>
      <x:c r="H44" s="2"/>
      <x:c r="I44" s="2"/>
      <x:c r="J44" s="1"/>
    </x:row>
    <x:row r="45" ht="25" customHeight="1">
      <x:c r="A45" s="1"/>
      <x:c r="B45" s="1"/>
      <x:c r="C45" s="1" t="str">
        <x:v>Software additions</x:v>
      </x:c>
      <x:c r="D45" s="2"/>
      <x:c r="E45" s="2"/>
      <x:c r="F45" s="2"/>
      <x:c r="G45" s="2"/>
      <x:c r="H45" s="2"/>
      <x:c r="I45" s="2"/>
      <x:c r="J45" s="1"/>
    </x:row>
    <x:row r="46" ht="25" customHeight="1">
      <x:c r="A46" s="1"/>
      <x:c r="B46" s="1"/>
      <x:c r="C46" s="1" t="str">
        <x:v>Cash dividends</x:v>
      </x:c>
      <x:c r="D46" s="2"/>
      <x:c r="E46" s="2"/>
      <x:c r="F46" s="2"/>
      <x:c r="G46" s="2"/>
      <x:c r="H46" s="2"/>
      <x:c r="I46" s="2"/>
      <x:c r="J46" s="1"/>
    </x:row>
    <x:row r="47" ht="25" customHeight="1">
      <x:c r="A47" s="1"/>
      <x:c r="B47" s="1"/>
      <x:c r="C47" s="1" t="str">
        <x:v>Cash equity issuance</x:v>
      </x:c>
      <x:c r="D47" s="2"/>
      <x:c r="E47" s="2"/>
      <x:c r="F47" s="2"/>
      <x:c r="G47" s="2"/>
      <x:c r="H47" s="2"/>
      <x:c r="I47" s="2"/>
      <x:c r="J47" s="1"/>
    </x:row>
    <x:row r="48" ht="25" customHeight="1">
      <x:c r="A48" s="1"/>
      <x:c r="B48" s="1"/>
      <x:c r="C48" s="1" t="str">
        <x:v>Term principal repayment</x:v>
      </x:c>
      <x:c r="D48" s="2"/>
      <x:c r="E48" s="2"/>
      <x:c r="F48" s="2"/>
      <x:c r="G48" s="2"/>
      <x:c r="H48" s="2"/>
      <x:c r="I48" s="2"/>
      <x:c r="J48" s="1"/>
    </x:row>
    <x:row r="49" ht="25" customHeight="1">
      <x:c r="A49" s="1"/>
      <x:c r="B49" s="1"/>
      <x:c r="C49" s="1"/>
      <x:c r="D49" s="2"/>
      <x:c r="E49" s="2"/>
      <x:c r="F49" s="2"/>
      <x:c r="G49" s="2"/>
      <x:c r="H49" s="2"/>
      <x:c r="I49" s="2"/>
      <x:c r="J49" s="1"/>
    </x:row>
    <x:row r="50" ht="25" customHeight="1">
      <x:c r="A50" s="1"/>
      <x:c r="B50" s="1"/>
      <x:c r="C50" s="1"/>
      <x:c r="D50" s="2"/>
      <x:c r="E50" s="2"/>
      <x:c r="F50" s="2"/>
      <x:c r="G50" s="2"/>
      <x:c r="H50" s="2"/>
      <x:c r="I50" s="2"/>
      <x:c r="J50" s="1"/>
    </x:row>
    <x:row r="51" ht="25" customHeight="1">
      <x:c r="A51" s="1"/>
      <x:c r="B51" s="1"/>
      <x:c r="C51" s="1"/>
      <x:c r="D51" s="2"/>
      <x:c r="E51" s="2"/>
      <x:c r="F51" s="2"/>
      <x:c r="G51" s="2"/>
      <x:c r="H51" s="2"/>
      <x:c r="I51" s="2"/>
      <x:c r="J51" s="1"/>
    </x:row>
    <x:row r="52" ht="25" customHeight="1">
      <x:c r="A52" s="1"/>
      <x:c r="B52" s="1"/>
      <x:c r="C52" s="24" t="str">
        <x:v>Original fictional case. Supplied balances; no forecast balancing plug.</x:v>
      </x:c>
      <x:c r="D52" s="25"/>
      <x:c r="E52" s="25"/>
      <x:c r="F52" s="25"/>
      <x:c r="G52" s="25"/>
      <x:c r="H52" s="25"/>
      <x:c r="I52" s="25"/>
      <x:c r="J52" s="1"/>
    </x:row>
    <x:row r="53" ht="25" customHeight="1">
      <x:c r="A53" s="1"/>
      <x:c r="B53" s="1"/>
      <x:c r="C53" s="24"/>
      <x:c r="D53" s="25"/>
      <x:c r="E53" s="25"/>
      <x:c r="F53" s="25"/>
      <x:c r="G53" s="25"/>
      <x:c r="H53" s="25"/>
      <x:c r="I53" s="25"/>
      <x:c r="J53" s="1"/>
    </x:row>
    <x:row r="54" ht="25" customHeight="1">
      <x:c r="A54" s="1"/>
      <x:c r="B54" s="1"/>
      <x:c r="C54" s="24" t="str">
        <x:v>Atlas supplies a reconciled opening statement only. Build the unfamiliar forecast from these balances.</x:v>
      </x:c>
      <x:c r="D54" s="25"/>
      <x:c r="E54" s="25"/>
      <x:c r="F54" s="25"/>
      <x:c r="G54" s="25"/>
      <x:c r="H54" s="25"/>
      <x:c r="I54" s="25"/>
      <x:c r="J54" s="1"/>
    </x:row>
    <x:row r="55" ht="25" customHeight="1">
      <x:c r="A55" s="1"/>
      <x:c r="B55" s="1"/>
      <x:c r="C55" s="24"/>
      <x:c r="D55" s="25"/>
      <x:c r="E55" s="25"/>
      <x:c r="F55" s="25"/>
      <x:c r="G55" s="25"/>
      <x:c r="H55" s="25"/>
      <x:c r="I55" s="25"/>
      <x:c r="J55" s="1"/>
    </x:row>
    <x:row r="56" ht="25" customHeight="1">
      <x:c r="A56" s="1"/>
      <x:c r="B56" s="1"/>
      <x:c r="C56" s="1"/>
      <x:c r="D56" s="2"/>
      <x:c r="E56" s="2"/>
      <x:c r="F56" s="2"/>
      <x:c r="G56" s="2"/>
      <x:c r="H56" s="2"/>
      <x:c r="I56" s="2"/>
      <x:c r="J56" s="1"/>
    </x:row>
    <x:row r="57" ht="25" customHeight="1">
      <x:c r="A57" s="1"/>
      <x:c r="B57" s="1"/>
      <x:c r="C57" s="1"/>
      <x:c r="D57" s="2"/>
      <x:c r="E57" s="2"/>
      <x:c r="F57" s="2"/>
      <x:c r="G57" s="2"/>
      <x:c r="H57" s="2"/>
      <x:c r="I57" s="2"/>
      <x:c r="J57" s="1"/>
    </x:row>
    <x:row r="58" ht="25" customHeight="1">
      <x:c r="A58" s="1"/>
      <x:c r="B58" s="1"/>
      <x:c r="C58" s="1"/>
      <x:c r="D58" s="2"/>
      <x:c r="E58" s="2"/>
      <x:c r="F58" s="2"/>
      <x:c r="G58" s="2"/>
      <x:c r="H58" s="2"/>
      <x:c r="I58" s="2"/>
      <x:c r="J58" s="1"/>
    </x:row>
    <x:row r="59" ht="25" customHeight="1">
      <x:c r="A59" s="1"/>
      <x:c r="B59" s="1"/>
      <x:c r="C59" s="1"/>
      <x:c r="D59" s="2"/>
      <x:c r="E59" s="2"/>
      <x:c r="F59" s="2"/>
      <x:c r="G59" s="2"/>
      <x:c r="H59" s="2"/>
      <x:c r="I59" s="2"/>
      <x:c r="J59" s="1"/>
    </x:row>
    <x:row r="60" ht="25" customHeight="1">
      <x:c r="A60" s="1"/>
      <x:c r="B60" s="1"/>
      <x:c r="C60" s="1"/>
      <x:c r="D60" s="2"/>
      <x:c r="E60" s="2"/>
      <x:c r="F60" s="2"/>
      <x:c r="G60" s="2"/>
      <x:c r="H60" s="2"/>
      <x:c r="I60" s="2"/>
      <x:c r="J60" s="1"/>
    </x:row>
    <x:row r="61" ht="25" customHeight="1">
      <x:c r="A61" s="1"/>
      <x:c r="B61" s="1"/>
      <x:c r="C61" s="1"/>
      <x:c r="D61" s="2"/>
      <x:c r="E61" s="2"/>
      <x:c r="F61" s="2"/>
      <x:c r="G61" s="2"/>
      <x:c r="H61" s="2"/>
      <x:c r="I61" s="2"/>
      <x:c r="J61" s="1"/>
    </x:row>
    <x:row r="62" ht="25" customHeight="1">
      <x:c r="A62" s="1"/>
      <x:c r="B62" s="1"/>
      <x:c r="C62" s="1"/>
      <x:c r="D62" s="2"/>
      <x:c r="E62" s="2"/>
      <x:c r="F62" s="2"/>
      <x:c r="G62" s="2"/>
      <x:c r="H62" s="2"/>
      <x:c r="I62" s="2"/>
      <x:c r="J62" s="1"/>
    </x:row>
    <x:row r="63" ht="25" customHeight="1">
      <x:c r="A63" s="1"/>
      <x:c r="B63" s="1"/>
      <x:c r="C63" s="1"/>
      <x:c r="D63" s="2"/>
      <x:c r="E63" s="2"/>
      <x:c r="F63" s="2"/>
      <x:c r="G63" s="2"/>
      <x:c r="H63" s="2"/>
      <x:c r="I63" s="2"/>
      <x:c r="J63" s="1"/>
    </x:row>
    <x:row r="64" ht="25" customHeight="1">
      <x:c r="A64" s="1"/>
      <x:c r="B64" s="1"/>
      <x:c r="C64" s="1"/>
      <x:c r="D64" s="2"/>
      <x:c r="E64" s="2"/>
      <x:c r="F64" s="2"/>
      <x:c r="G64" s="2"/>
      <x:c r="H64" s="2"/>
      <x:c r="I64" s="2"/>
      <x:c r="J64" s="1"/>
    </x:row>
    <x:row r="65" ht="25" customHeight="1">
      <x:c r="A65" s="1"/>
      <x:c r="B65" s="1"/>
      <x:c r="C65" s="1"/>
      <x:c r="D65" s="2"/>
      <x:c r="E65" s="2"/>
      <x:c r="F65" s="2"/>
      <x:c r="G65" s="2"/>
      <x:c r="H65" s="2"/>
      <x:c r="I65" s="2"/>
      <x:c r="J65" s="1"/>
    </x:row>
    <x:row r="66" ht="25" customHeight="1">
      <x:c r="A66" s="1"/>
      <x:c r="B66" s="1"/>
      <x:c r="C66" s="1"/>
      <x:c r="D66" s="2"/>
      <x:c r="E66" s="2"/>
      <x:c r="F66" s="2"/>
      <x:c r="G66" s="2"/>
      <x:c r="H66" s="2"/>
      <x:c r="I66" s="2"/>
      <x:c r="J66" s="1"/>
    </x:row>
    <x:row r="67" ht="25" customHeight="1">
      <x:c r="A67" s="1"/>
      <x:c r="B67" s="1"/>
      <x:c r="C67" s="1"/>
      <x:c r="D67" s="2"/>
      <x:c r="E67" s="2"/>
      <x:c r="F67" s="2"/>
      <x:c r="G67" s="2"/>
      <x:c r="H67" s="2"/>
      <x:c r="I67" s="2"/>
      <x:c r="J67" s="1"/>
    </x:row>
    <x:row r="68" ht="25" customHeight="1">
      <x:c r="A68" s="1"/>
      <x:c r="B68" s="1"/>
      <x:c r="C68" s="1"/>
      <x:c r="D68" s="2"/>
      <x:c r="E68" s="2"/>
      <x:c r="F68" s="2"/>
      <x:c r="G68" s="2"/>
      <x:c r="H68" s="2"/>
      <x:c r="I68" s="2"/>
      <x:c r="J68" s="1"/>
    </x:row>
    <x:row r="69" ht="25" customHeight="1">
      <x:c r="A69" s="1"/>
      <x:c r="B69" s="1"/>
      <x:c r="C69" s="1"/>
      <x:c r="D69" s="2"/>
      <x:c r="E69" s="2"/>
      <x:c r="F69" s="2"/>
      <x:c r="G69" s="2"/>
      <x:c r="H69" s="2"/>
      <x:c r="I69" s="2"/>
      <x:c r="J69" s="1"/>
    </x:row>
    <x:row r="70" ht="25" customHeight="1">
      <x:c r="A70" s="1"/>
      <x:c r="B70" s="1"/>
      <x:c r="C70" s="1"/>
      <x:c r="D70" s="2"/>
      <x:c r="E70" s="2"/>
      <x:c r="F70" s="2"/>
      <x:c r="G70" s="2"/>
      <x:c r="H70" s="2"/>
      <x:c r="I70" s="2"/>
      <x:c r="J70" s="1"/>
    </x:row>
    <x:row r="71" ht="25" customHeight="1">
      <x:c r="A71" s="1"/>
      <x:c r="B71" s="1"/>
      <x:c r="C71" s="1"/>
      <x:c r="D71" s="2"/>
      <x:c r="E71" s="2"/>
      <x:c r="F71" s="2"/>
      <x:c r="G71" s="2"/>
      <x:c r="H71" s="2"/>
      <x:c r="I71" s="2"/>
      <x:c r="J71" s="1"/>
    </x:row>
    <x:row r="72" ht="25" customHeight="1">
      <x:c r="A72" s="1"/>
      <x:c r="B72" s="1"/>
      <x:c r="C72" s="1"/>
      <x:c r="D72" s="2"/>
      <x:c r="E72" s="2"/>
      <x:c r="F72" s="2"/>
      <x:c r="G72" s="2"/>
      <x:c r="H72" s="2"/>
      <x:c r="I72" s="2"/>
      <x:c r="J72" s="1"/>
    </x:row>
    <x:row r="73" ht="25" customHeight="1">
      <x:c r="A73" s="1"/>
      <x:c r="B73" s="1"/>
      <x:c r="C73" s="1"/>
      <x:c r="D73" s="2"/>
      <x:c r="E73" s="2"/>
      <x:c r="F73" s="2"/>
      <x:c r="G73" s="2"/>
      <x:c r="H73" s="2"/>
      <x:c r="I73" s="2"/>
      <x:c r="J73" s="1"/>
    </x:row>
    <x:row r="74" ht="25" customHeight="1">
      <x:c r="A74" s="1"/>
      <x:c r="B74" s="1"/>
      <x:c r="C74" s="1"/>
      <x:c r="D74" s="2"/>
      <x:c r="E74" s="2"/>
      <x:c r="F74" s="2"/>
      <x:c r="G74" s="2"/>
      <x:c r="H74" s="2"/>
      <x:c r="I74" s="2"/>
      <x:c r="J74" s="1"/>
    </x:row>
    <x:row r="75" ht="25" customHeight="1">
      <x:c r="A75" s="1"/>
      <x:c r="B75" s="1"/>
      <x:c r="C75" s="1"/>
      <x:c r="D75" s="2"/>
      <x:c r="E75" s="2"/>
      <x:c r="F75" s="2"/>
      <x:c r="G75" s="2"/>
      <x:c r="H75" s="2"/>
      <x:c r="I75" s="2"/>
      <x:c r="J75" s="1"/>
    </x:row>
    <x:row r="76" ht="25" customHeight="1">
      <x:c r="A76" s="1"/>
      <x:c r="B76" s="1"/>
      <x:c r="C76" s="1"/>
      <x:c r="D76" s="2"/>
      <x:c r="E76" s="2"/>
      <x:c r="F76" s="2"/>
      <x:c r="G76" s="2"/>
      <x:c r="H76" s="2"/>
      <x:c r="I76" s="2"/>
      <x:c r="J76" s="1"/>
    </x:row>
    <x:row r="77" ht="25" customHeight="1">
      <x:c r="A77" s="1"/>
      <x:c r="B77" s="1"/>
      <x:c r="C77" s="1"/>
      <x:c r="D77" s="2"/>
      <x:c r="E77" s="2"/>
      <x:c r="F77" s="2"/>
      <x:c r="G77" s="2"/>
      <x:c r="H77" s="2"/>
      <x:c r="I77" s="2"/>
      <x:c r="J77" s="1"/>
    </x:row>
    <x:row r="78" ht="25" customHeight="1">
      <x:c r="A78" s="1"/>
      <x:c r="B78" s="1"/>
      <x:c r="C78" s="1"/>
      <x:c r="D78" s="2"/>
      <x:c r="E78" s="2"/>
      <x:c r="F78" s="2"/>
      <x:c r="G78" s="2"/>
      <x:c r="H78" s="2"/>
      <x:c r="I78" s="2"/>
      <x:c r="J78" s="1"/>
    </x:row>
    <x:row r="79" ht="25" customHeight="1">
      <x:c r="A79" s="1"/>
      <x:c r="B79" s="1"/>
      <x:c r="C79" s="1"/>
      <x:c r="D79" s="2"/>
      <x:c r="E79" s="2"/>
      <x:c r="F79" s="2"/>
      <x:c r="G79" s="2"/>
      <x:c r="H79" s="2"/>
      <x:c r="I79" s="2"/>
      <x:c r="J79" s="1"/>
    </x:row>
    <x:row r="80" ht="25" customHeight="1">
      <x:c r="A80" s="1"/>
      <x:c r="B80" s="1"/>
      <x:c r="C80" s="1"/>
      <x:c r="D80" s="2"/>
      <x:c r="E80" s="2"/>
      <x:c r="F80" s="2"/>
      <x:c r="G80" s="2"/>
      <x:c r="H80" s="2"/>
      <x:c r="I80" s="2"/>
      <x:c r="J80" s="1"/>
    </x:row>
    <x:row r="81" ht="25" customHeight="1">
      <x:c r="A81" s="1"/>
      <x:c r="B81" s="1"/>
      <x:c r="C81" s="1"/>
      <x:c r="D81" s="2"/>
      <x:c r="E81" s="2"/>
      <x:c r="F81" s="2"/>
      <x:c r="G81" s="2"/>
      <x:c r="H81" s="2"/>
      <x:c r="I81" s="2"/>
      <x:c r="J81" s="1"/>
    </x:row>
    <x:row r="82" ht="25" customHeight="1">
      <x:c r="A82" s="1"/>
      <x:c r="B82" s="1"/>
      <x:c r="C82" s="1"/>
      <x:c r="D82" s="2"/>
      <x:c r="E82" s="2"/>
      <x:c r="F82" s="2"/>
      <x:c r="G82" s="2"/>
      <x:c r="H82" s="2"/>
      <x:c r="I82" s="2"/>
      <x:c r="J82" s="1"/>
    </x:row>
    <x:row r="83" ht="25" customHeight="1">
      <x:c r="A83" s="1"/>
      <x:c r="B83" s="1"/>
      <x:c r="C83" s="1"/>
      <x:c r="D83" s="2"/>
      <x:c r="E83" s="2"/>
      <x:c r="F83" s="2"/>
      <x:c r="G83" s="2"/>
      <x:c r="H83" s="2"/>
      <x:c r="I83" s="2"/>
      <x:c r="J83" s="1"/>
    </x:row>
    <x:row r="84" ht="25" customHeight="1">
      <x:c r="A84" s="1"/>
      <x:c r="B84" s="1"/>
      <x:c r="C84" s="1"/>
      <x:c r="D84" s="2"/>
      <x:c r="E84" s="2"/>
      <x:c r="F84" s="2"/>
      <x:c r="G84" s="2"/>
      <x:c r="H84" s="2"/>
      <x:c r="I84" s="2"/>
      <x:c r="J84" s="1"/>
    </x:row>
    <x:row r="85" ht="25" customHeight="1">
      <x:c r="A85" s="1"/>
      <x:c r="B85" s="1"/>
      <x:c r="C85" s="1"/>
      <x:c r="D85" s="2"/>
      <x:c r="E85" s="2"/>
      <x:c r="F85" s="2"/>
      <x:c r="G85" s="2"/>
      <x:c r="H85" s="2"/>
      <x:c r="I85" s="2"/>
      <x:c r="J85" s="1"/>
    </x:row>
    <x:row r="86" ht="25" customHeight="1">
      <x:c r="A86" s="1"/>
      <x:c r="B86" s="1"/>
      <x:c r="C86" s="1"/>
      <x:c r="D86" s="2"/>
      <x:c r="E86" s="2"/>
      <x:c r="F86" s="2"/>
      <x:c r="G86" s="2"/>
      <x:c r="H86" s="2"/>
      <x:c r="I86" s="2"/>
      <x:c r="J86" s="1"/>
    </x:row>
    <x:row r="87" ht="25" customHeight="1">
      <x:c r="A87" s="1"/>
      <x:c r="B87" s="1"/>
      <x:c r="C87" s="1"/>
      <x:c r="D87" s="2"/>
      <x:c r="E87" s="2"/>
      <x:c r="F87" s="2"/>
      <x:c r="G87" s="2"/>
      <x:c r="H87" s="2"/>
      <x:c r="I87" s="2"/>
      <x:c r="J87" s="1"/>
    </x:row>
    <x:row r="88" ht="25" customHeight="1">
      <x:c r="A88" s="1"/>
      <x:c r="B88" s="1"/>
      <x:c r="C88" s="1"/>
      <x:c r="D88" s="2"/>
      <x:c r="E88" s="2"/>
      <x:c r="F88" s="2"/>
      <x:c r="G88" s="2"/>
      <x:c r="H88" s="2"/>
      <x:c r="I88" s="2"/>
      <x:c r="J88" s="1"/>
    </x:row>
    <x:row r="89" ht="25" customHeight="1">
      <x:c r="A89" s="1"/>
      <x:c r="B89" s="1"/>
      <x:c r="C89" s="1"/>
      <x:c r="D89" s="2"/>
      <x:c r="E89" s="2"/>
      <x:c r="F89" s="2"/>
      <x:c r="G89" s="2"/>
      <x:c r="H89" s="2"/>
      <x:c r="I89" s="2"/>
      <x:c r="J89" s="1"/>
    </x:row>
    <x:row r="90" ht="25" customHeight="1">
      <x:c r="A90" s="1"/>
      <x:c r="B90" s="1"/>
      <x:c r="C90" s="1"/>
      <x:c r="D90" s="2"/>
      <x:c r="E90" s="2"/>
      <x:c r="F90" s="2"/>
      <x:c r="G90" s="2"/>
      <x:c r="H90" s="2"/>
      <x:c r="I90" s="2"/>
      <x:c r="J90" s="1"/>
    </x:row>
    <x:row r="91" ht="25" customHeight="1">
      <x:c r="A91" s="1"/>
      <x:c r="B91" s="1"/>
      <x:c r="C91" s="1"/>
      <x:c r="D91" s="2"/>
      <x:c r="E91" s="2"/>
      <x:c r="F91" s="2"/>
      <x:c r="G91" s="2"/>
      <x:c r="H91" s="2"/>
      <x:c r="I91" s="2"/>
      <x:c r="J91" s="1"/>
    </x:row>
    <x:row r="92" ht="25" customHeight="1">
      <x:c r="A92" s="1"/>
      <x:c r="B92" s="1"/>
      <x:c r="C92" s="1"/>
      <x:c r="D92" s="2"/>
      <x:c r="E92" s="2"/>
      <x:c r="F92" s="2"/>
      <x:c r="G92" s="2"/>
      <x:c r="H92" s="2"/>
      <x:c r="I92" s="2"/>
      <x:c r="J92" s="1"/>
    </x:row>
    <x:row r="93" ht="25" customHeight="1">
      <x:c r="A93" s="1"/>
      <x:c r="B93" s="1"/>
      <x:c r="C93" s="1"/>
      <x:c r="D93" s="2"/>
      <x:c r="E93" s="2"/>
      <x:c r="F93" s="2"/>
      <x:c r="G93" s="2"/>
      <x:c r="H93" s="2"/>
      <x:c r="I93" s="2"/>
      <x:c r="J93" s="1"/>
    </x:row>
    <x:row r="94" ht="25" customHeight="1">
      <x:c r="A94" s="1"/>
      <x:c r="B94" s="1"/>
      <x:c r="C94" s="1"/>
      <x:c r="D94" s="2"/>
      <x:c r="E94" s="2"/>
      <x:c r="F94" s="2"/>
      <x:c r="G94" s="2"/>
      <x:c r="H94" s="2"/>
      <x:c r="I94" s="2"/>
      <x:c r="J94" s="1"/>
    </x:row>
    <x:row r="95" ht="25" customHeight="1">
      <x:c r="A95" s="1"/>
      <x:c r="B95" s="1"/>
      <x:c r="C95" s="1"/>
      <x:c r="D95" s="2"/>
      <x:c r="E95" s="2"/>
      <x:c r="F95" s="2"/>
      <x:c r="G95" s="2"/>
      <x:c r="H95" s="2"/>
      <x:c r="I95" s="2"/>
      <x:c r="J95" s="1"/>
    </x:row>
    <x:row r="96" ht="25" customHeight="1">
      <x:c r="A96" s="1"/>
      <x:c r="B96" s="1"/>
      <x:c r="C96" s="1"/>
      <x:c r="D96" s="2"/>
      <x:c r="E96" s="2"/>
      <x:c r="F96" s="2"/>
      <x:c r="G96" s="2"/>
      <x:c r="H96" s="2"/>
      <x:c r="I96" s="2"/>
      <x:c r="J96" s="1"/>
    </x:row>
    <x:row r="97" ht="25" customHeight="1">
      <x:c r="A97" s="1"/>
      <x:c r="B97" s="1"/>
      <x:c r="C97" s="1"/>
      <x:c r="D97" s="2"/>
      <x:c r="E97" s="2"/>
      <x:c r="F97" s="2"/>
      <x:c r="G97" s="2"/>
      <x:c r="H97" s="2"/>
      <x:c r="I97" s="2"/>
      <x:c r="J97" s="1"/>
    </x:row>
    <x:row r="98" ht="25" customHeight="1">
      <x:c r="A98" s="1"/>
      <x:c r="B98" s="1"/>
      <x:c r="C98" s="1"/>
      <x:c r="D98" s="2"/>
      <x:c r="E98" s="2"/>
      <x:c r="F98" s="2"/>
      <x:c r="G98" s="2"/>
      <x:c r="H98" s="2"/>
      <x:c r="I98" s="2"/>
      <x:c r="J98" s="1"/>
    </x:row>
    <x:row r="99" ht="25" customHeight="1">
      <x:c r="A99" s="1"/>
      <x:c r="B99" s="1"/>
      <x:c r="C99" s="1"/>
      <x:c r="D99" s="2"/>
      <x:c r="E99" s="2"/>
      <x:c r="F99" s="2"/>
      <x:c r="G99" s="2"/>
      <x:c r="H99" s="2"/>
      <x:c r="I99" s="2"/>
      <x:c r="J99" s="1"/>
    </x:row>
    <x:row r="100" ht="25" customHeight="1">
      <x:c r="A100" s="1"/>
      <x:c r="B100" s="1"/>
      <x:c r="C100" s="1"/>
      <x:c r="D100" s="2"/>
      <x:c r="E100" s="2"/>
      <x:c r="F100" s="2"/>
      <x:c r="G100" s="2"/>
      <x:c r="H100" s="2"/>
      <x:c r="I100" s="2"/>
      <x:c r="J100" s="1"/>
    </x:row>
  </x:sheetData>
  <x:mergeCells>
    <x:mergeCell ref="C2:I2"/>
    <x:mergeCell ref="C5:I5"/>
    <x:mergeCell ref="C52:I53"/>
    <x:mergeCell ref="C54:I55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Pr>
    <x:tabColor rgb="FFDC7A49"/>
  </x:sheetPr>
  <x:sheetViews>
    <x:sheetView showGridLines="0" workbookViewId="0">
      <x:pane xSplit="4" ySplit="9" topLeftCell="E10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43" hidden="0" customWidth="1"/>
    <x:col min="4" max="4" width="19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44" customHeight="1">
      <x:c r="A2" s="1"/>
      <x:c r="B2" s="1"/>
      <x:c r="C2" s="6" t="str">
        <x:v>Review</x:v>
      </x:c>
      <x:c r="D2" s="6"/>
      <x:c r="E2" s="6"/>
      <x:c r="F2" s="6"/>
      <x:c r="G2" s="6"/>
      <x:c r="H2" s="6"/>
      <x:c r="I2" s="6"/>
      <x:c r="J2" s="1"/>
    </x:row>
    <x:row r="3" ht="25" customHeight="1">
      <x:c r="A3" s="1"/>
      <x:c r="B3" s="1"/>
      <x:c r="C3" s="1" t="str">
        <x:v>Selected case</x:v>
      </x:c>
      <x:c r="D3" s="8" t="str">
        <x:f>IFERROR(IFERROR(CHOOSE('Assumptions'!$D$6,"Base","Downside","Upside"),"Invalid case"),"Incomplete")</x:f>
        <x:v>Base</x:v>
      </x:c>
      <x:c r="E3" s="1"/>
      <x:c r="F3" s="1"/>
      <x:c r="G3" s="1"/>
      <x:c r="H3" s="1"/>
      <x:c r="I3" s="1"/>
      <x:c r="J3" s="1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25" customHeight="1">
      <x:c r="A5" s="1"/>
      <x:c r="B5" s="1"/>
      <x:c r="C5" s="7" t="str">
        <x:v>USD thousands unless stated</x:v>
      </x:c>
      <x:c r="D5" s="7"/>
      <x:c r="E5" s="7"/>
      <x:c r="F5" s="7"/>
      <x:c r="G5" s="7"/>
      <x:c r="H5" s="7"/>
      <x:c r="I5" s="7"/>
      <x:c r="J5" s="1"/>
    </x:row>
    <x:row r="6" ht="25" customHeight="1">
      <x:c r="A6" s="1"/>
      <x:c r="B6" s="1"/>
      <x:c r="C6" s="1"/>
      <x:c r="D6" s="2"/>
      <x:c r="E6" s="2"/>
      <x:c r="F6" s="2"/>
      <x:c r="G6" s="2"/>
      <x:c r="H6" s="2"/>
      <x:c r="I6" s="2"/>
      <x:c r="J6" s="1"/>
    </x:row>
    <x:row r="7" ht="25" customHeight="1">
      <x:c r="A7" s="1"/>
      <x:c r="B7" s="1"/>
      <x:c r="C7" s="1"/>
      <x:c r="D7" s="2"/>
      <x:c r="E7" s="2"/>
      <x:c r="F7" s="2"/>
      <x:c r="G7" s="2"/>
      <x:c r="H7" s="2"/>
      <x:c r="I7" s="2"/>
      <x:c r="J7" s="1"/>
    </x:row>
    <x:row r="8" ht="25" customHeight="1">
      <x:c r="A8" s="1"/>
      <x:c r="B8" s="1"/>
      <x:c r="C8" s="9"/>
      <x:c r="D8" s="10"/>
      <x:c r="E8" s="12" t="n">
        <x:f>IFERROR('History'!$F$6+1,"Incomplete")</x:f>
        <x:v>2027</x:v>
      </x:c>
      <x:c r="F8" s="12" t="n">
        <x:f>IFERROR('History'!$F$6+2,"Incomplete")</x:f>
        <x:v>2028</x:v>
      </x:c>
      <x:c r="G8" s="12" t="n">
        <x:f>IFERROR('History'!$F$6+3,"Incomplete")</x:f>
        <x:v>2029</x:v>
      </x:c>
      <x:c r="H8" s="12" t="n">
        <x:f>IFERROR('History'!$F$6+4,"Incomplete")</x:f>
        <x:v>2030</x:v>
      </x:c>
      <x:c r="I8" s="12" t="n">
        <x:f>IFERROR('History'!$F$6+5,"Incomplete")</x:f>
        <x:v>2031</x:v>
      </x:c>
      <x:c r="J8" s="1"/>
    </x:row>
    <x:row r="9" ht="25" customHeight="1">
      <x:c r="A9" s="1"/>
      <x:c r="B9" s="1"/>
      <x:c r="C9" s="1"/>
      <x:c r="D9" s="2"/>
      <x:c r="E9" s="13" t="str">
        <x:f>IFERROR(IF(1&lt;='Assumptions'!$D$7,"In horizon","Beyond horizon"),"Incomplete")</x:f>
        <x:v>In horizon</x:v>
      </x:c>
      <x:c r="F9" s="13" t="str">
        <x:f>IFERROR(IF(2&lt;='Assumptions'!$D$7,"In horizon","Beyond horizon"),"Incomplete")</x:f>
        <x:v>In horizon</x:v>
      </x:c>
      <x:c r="G9" s="13" t="str">
        <x:f>IFERROR(IF(3&lt;='Assumptions'!$D$7,"In horizon","Beyond horizon"),"Incomplete")</x:f>
        <x:v>In horizon</x:v>
      </x:c>
      <x:c r="H9" s="13" t="str">
        <x:f>IFERROR(IF(4&lt;='Assumptions'!$D$7,"In horizon","Beyond horizon"),"Incomplete")</x:f>
        <x:v>Beyond horizon</x:v>
      </x:c>
      <x:c r="I9" s="13" t="str">
        <x:f>IFERROR(IF(5&lt;='Assumptions'!$D$7,"In horizon","Beyond horizon"),"Incomplete")</x:f>
        <x:v>Beyond horizon</x:v>
      </x:c>
      <x:c r="J9" s="1"/>
    </x:row>
    <x:row r="10" ht="25" customHeight="1">
      <x:c r="A10" s="1"/>
      <x:c r="B10" s="1"/>
      <x:c r="C10" s="1" t="str">
        <x:v>Balance-sheet difference</x:v>
      </x:c>
      <x:c r="D10" s="2"/>
      <x:c r="E10" s="45" t="n">
        <x:f>IFERROR(IF('Statements'!E7="Calculated",'Statements'!E43-'Statements'!E55,"Incomplete"),"Incomplete")</x:f>
        <x:v>0</x:v>
      </x:c>
      <x:c r="F10" s="45" t="n">
        <x:f>IFERROR(IF('Statements'!F7="Calculated",'Statements'!F43-'Statements'!F55,"Incomplete"),"Incomplete")</x:f>
        <x:v>1.1368683772161603e-13</x:v>
      </x:c>
      <x:c r="G10" s="45" t="n">
        <x:f>IFERROR(IF('Statements'!G7="Calculated",'Statements'!G43-'Statements'!G55,"Incomplete"),"Incomplete")</x:f>
        <x:v>1.1368683772161603e-13</x:v>
      </x:c>
      <x:c r="H10" s="45" t="n">
        <x:f>IFERROR(IF('Statements'!H7="Calculated",'Statements'!H43-'Statements'!H55,"Incomplete"),"Incomplete")</x:f>
        <x:v>1.1368683772161603e-13</x:v>
      </x:c>
      <x:c r="I10" s="45" t="n">
        <x:f>IFERROR(IF('Statements'!I7="Calculated",'Statements'!I43-'Statements'!I55,"Incomplete"),"Incomplete")</x:f>
        <x:v>0</x:v>
      </x:c>
      <x:c r="J10" s="1"/>
    </x:row>
    <x:row r="11" ht="25" customHeight="1">
      <x:c r="A11" s="1"/>
      <x:c r="B11" s="1"/>
      <x:c r="C11" s="1" t="str">
        <x:v>Cash reconciliation difference</x:v>
      </x:c>
      <x:c r="D11" s="2"/>
      <x:c r="E11" s="45" t="n">
        <x:f>IFERROR(IF('Statements'!E7="Calculated",'Statements'!E33+'Statements'!E32-'Funding'!E36,"Incomplete"),"Incomplete")</x:f>
        <x:v>0</x:v>
      </x:c>
      <x:c r="F11" s="45" t="n">
        <x:f>IFERROR(IF('Statements'!F7="Calculated",'Statements'!F33+'Statements'!F32-'Funding'!F36,"Incomplete"),"Incomplete")</x:f>
        <x:v>0</x:v>
      </x:c>
      <x:c r="G11" s="45" t="n">
        <x:f>IFERROR(IF('Statements'!G7="Calculated",'Statements'!G33+'Statements'!G32-'Funding'!G36,"Incomplete"),"Incomplete")</x:f>
        <x:v>0</x:v>
      </x:c>
      <x:c r="H11" s="45" t="n">
        <x:f>IFERROR(IF('Statements'!H7="Calculated",'Statements'!H33+'Statements'!H32-'Funding'!H36,"Incomplete"),"Incomplete")</x:f>
        <x:v>0</x:v>
      </x:c>
      <x:c r="I11" s="45" t="n">
        <x:f>IFERROR(IF('Statements'!I7="Calculated",'Statements'!I33+'Statements'!I32-'Funding'!I36,"Incomplete"),"Incomplete")</x:f>
        <x:v>0</x:v>
      </x:c>
      <x:c r="J11" s="1"/>
    </x:row>
    <x:row r="12" ht="25" customHeight="1">
      <x:c r="A12" s="1"/>
      <x:c r="B12" s="1"/>
      <x:c r="C12" s="1" t="str">
        <x:v>Direct / indirect CFO difference</x:v>
      </x:c>
      <x:c r="D12" s="2"/>
      <x:c r="E12" s="45" t="n">
        <x:f>IFERROR(IF('Statements'!E7="Calculated",'Funding'!E22-'Funding'!E43,"Incomplete"),"Incomplete")</x:f>
        <x:v>5.684341886080802e-14</x:v>
      </x:c>
      <x:c r="F12" s="45" t="n">
        <x:f>IFERROR(IF('Statements'!F7="Calculated",'Funding'!F22-'Funding'!F43,"Incomplete"),"Incomplete")</x:f>
        <x:v>-2.5579538487363607e-13</x:v>
      </x:c>
      <x:c r="G12" s="45" t="n">
        <x:f>IFERROR(IF('Statements'!G7="Calculated",'Funding'!G22-'Funding'!G43,"Incomplete"),"Incomplete")</x:f>
        <x:v>2.2737367544323206e-13</x:v>
      </x:c>
      <x:c r="H12" s="45" t="n">
        <x:f>IFERROR(IF('Statements'!H7="Calculated",'Funding'!H22-'Funding'!H43,"Incomplete"),"Incomplete")</x:f>
        <x:v>0</x:v>
      </x:c>
      <x:c r="I12" s="45" t="n">
        <x:f>IFERROR(IF('Statements'!I7="Calculated",'Funding'!I22-'Funding'!I43,"Incomplete"),"Incomplete")</x:f>
        <x:v>-1.7053025658242404e-13</x:v>
      </x:c>
      <x:c r="J12" s="1"/>
    </x:row>
    <x:row r="13" ht="25" customHeight="1">
      <x:c r="A13" s="1"/>
      <x:c r="B13" s="1"/>
      <x:c r="C13" s="1" t="str">
        <x:v>Debt roll-forward difference</x:v>
      </x:c>
      <x:c r="D13" s="2"/>
      <x:c r="E13" s="45" t="n">
        <x:f>IFERROR(IF('Statements'!E7="Calculated",'Funding'!E34+'Funding'!E35-'Funding'!E11-'Funding'!E12-'Funding'!E31+'Funding'!E25+'Funding'!E32+'Funding'!E33,"Incomplete"),"Incomplete")</x:f>
        <x:v>0</x:v>
      </x:c>
      <x:c r="F13" s="45" t="n">
        <x:f>IFERROR(IF('Statements'!F7="Calculated",'Funding'!F34+'Funding'!F35-'Funding'!F11-'Funding'!F12-'Funding'!F31+'Funding'!F25+'Funding'!F32+'Funding'!F33,"Incomplete"),"Incomplete")</x:f>
        <x:v>0</x:v>
      </x:c>
      <x:c r="G13" s="45" t="n">
        <x:f>IFERROR(IF('Statements'!G7="Calculated",'Funding'!G34+'Funding'!G35-'Funding'!G11-'Funding'!G12-'Funding'!G31+'Funding'!G25+'Funding'!G32+'Funding'!G33,"Incomplete"),"Incomplete")</x:f>
        <x:v>0</x:v>
      </x:c>
      <x:c r="H13" s="45" t="n">
        <x:f>IFERROR(IF('Statements'!H7="Calculated",'Funding'!H34+'Funding'!H35-'Funding'!H11-'Funding'!H12-'Funding'!H31+'Funding'!H25+'Funding'!H32+'Funding'!H33,"Incomplete"),"Incomplete")</x:f>
        <x:v>0</x:v>
      </x:c>
      <x:c r="I13" s="45" t="n">
        <x:f>IFERROR(IF('Statements'!I7="Calculated",'Funding'!I34+'Funding'!I35-'Funding'!I11-'Funding'!I12-'Funding'!I31+'Funding'!I25+'Funding'!I32+'Funding'!I33,"Incomplete"),"Incomplete")</x:f>
        <x:v>0</x:v>
      </x:c>
      <x:c r="J13" s="1"/>
    </x:row>
    <x:row r="14" ht="25" customHeight="1">
      <x:c r="A14" s="1"/>
      <x:c r="B14" s="1"/>
      <x:c r="C14" s="1" t="str">
        <x:v>PP&amp;E roll-forward difference</x:v>
      </x:c>
      <x:c r="D14" s="2"/>
      <x:c r="E14" s="45" t="n">
        <x:f>IFERROR(IF('Statements'!E7="Calculated",'Assets'!E16-'History'!$F$29-'Assets'!E11+'Assets'!E14,"Incomplete"),"Incomplete")</x:f>
        <x:v>0</x:v>
      </x:c>
      <x:c r="F14" s="45" t="n">
        <x:f>IFERROR(IF('Statements'!F7="Calculated",'Assets'!F16-'Assets'!E16-'Assets'!F11+'Assets'!F14,"Incomplete"),"Incomplete")</x:f>
        <x:v>0</x:v>
      </x:c>
      <x:c r="G14" s="45" t="n">
        <x:f>IFERROR(IF('Statements'!G7="Calculated",'Assets'!G16-'Assets'!F16-'Assets'!G11+'Assets'!G14,"Incomplete"),"Incomplete")</x:f>
        <x:v>0</x:v>
      </x:c>
      <x:c r="H14" s="45" t="n">
        <x:f>IFERROR(IF('Statements'!H7="Calculated",'Assets'!H16-'Assets'!G16-'Assets'!H11+'Assets'!H14,"Incomplete"),"Incomplete")</x:f>
        <x:v>0</x:v>
      </x:c>
      <x:c r="I14" s="45" t="n">
        <x:f>IFERROR(IF('Statements'!I7="Calculated",'Assets'!I16-'Assets'!H16-'Assets'!I11+'Assets'!I14,"Incomplete"),"Incomplete")</x:f>
        <x:v>0</x:v>
      </x:c>
      <x:c r="J14" s="1"/>
    </x:row>
    <x:row r="15" ht="25" customHeight="1">
      <x:c r="A15" s="1"/>
      <x:c r="B15" s="1"/>
      <x:c r="C15" s="1" t="str">
        <x:v>Software roll-forward difference</x:v>
      </x:c>
      <x:c r="D15" s="2"/>
      <x:c r="E15" s="45" t="n">
        <x:f>IFERROR(IF('Statements'!E7="Calculated",'Assets'!E24-'History'!$F$30-'Assets'!E19+'Assets'!E22,"Incomplete"),"Incomplete")</x:f>
        <x:v>0</x:v>
      </x:c>
      <x:c r="F15" s="45" t="n">
        <x:f>IFERROR(IF('Statements'!F7="Calculated",'Assets'!F24-'Assets'!E24-'Assets'!F19+'Assets'!F22,"Incomplete"),"Incomplete")</x:f>
        <x:v>0</x:v>
      </x:c>
      <x:c r="G15" s="45" t="n">
        <x:f>IFERROR(IF('Statements'!G7="Calculated",'Assets'!G24-'Assets'!F24-'Assets'!G19+'Assets'!G22,"Incomplete"),"Incomplete")</x:f>
        <x:v>0</x:v>
      </x:c>
      <x:c r="H15" s="45" t="n">
        <x:f>IFERROR(IF('Statements'!H7="Calculated",'Assets'!H24-'Assets'!G24-'Assets'!H19+'Assets'!H22,"Incomplete"),"Incomplete")</x:f>
        <x:v>0</x:v>
      </x:c>
      <x:c r="I15" s="45" t="n">
        <x:f>IFERROR(IF('Statements'!I7="Calculated",'Assets'!I24-'Assets'!H24-'Assets'!I19+'Assets'!I22,"Incomplete"),"Incomplete")</x:f>
        <x:v>0</x:v>
      </x:c>
      <x:c r="J15" s="1"/>
    </x:row>
    <x:row r="16" ht="25" customHeight="1">
      <x:c r="A16" s="1"/>
      <x:c r="B16" s="1"/>
      <x:c r="C16" s="1" t="str">
        <x:v>Retained earnings difference</x:v>
      </x:c>
      <x:c r="D16" s="2"/>
      <x:c r="E16" s="45" t="n">
        <x:f>IFERROR(IF('Statements'!E7="Calculated",'Funding'!E39-'History'!$F$34-'Operations'!E24+'Assumptions'!E70,"Incomplete"),"Incomplete")</x:f>
        <x:v>-2.842170943040401e-14</x:v>
      </x:c>
      <x:c r="F16" s="45" t="n">
        <x:f>IFERROR(IF('Statements'!F7="Calculated",'Funding'!F39-'Funding'!E39-'Operations'!F24+'Assumptions'!F70,"Incomplete"),"Incomplete")</x:f>
        <x:v>-1.4210854715202004e-14</x:v>
      </x:c>
      <x:c r="G16" s="45" t="n">
        <x:f>IFERROR(IF('Statements'!G7="Calculated",'Funding'!G39-'Funding'!F39-'Operations'!G24+'Assumptions'!G70,"Incomplete"),"Incomplete")</x:f>
        <x:v>-2.842170943040401e-14</x:v>
      </x:c>
      <x:c r="H16" s="45" t="n">
        <x:f>IFERROR(IF('Statements'!H7="Calculated",'Funding'!H39-'Funding'!G39-'Operations'!H24+'Assumptions'!H70,"Incomplete"),"Incomplete")</x:f>
        <x:v>-2.842170943040401e-14</x:v>
      </x:c>
      <x:c r="I16" s="45" t="n">
        <x:f>IFERROR(IF('Statements'!I7="Calculated",'Funding'!I39-'Funding'!H39-'Operations'!I24+'Assumptions'!I70,"Incomplete"),"Incomplete")</x:f>
        <x:v>0</x:v>
      </x:c>
      <x:c r="J16" s="1"/>
    </x:row>
    <x:row r="17" ht="25" customHeight="1">
      <x:c r="A17" s="1"/>
      <x:c r="B17" s="1"/>
      <x:c r="C17" s="1" t="str">
        <x:v>D&amp;A expense link difference</x:v>
      </x:c>
      <x:c r="D17" s="2"/>
      <x:c r="E17" s="45" t="n">
        <x:f>IFERROR(IF('Statements'!E7="Calculated",'Operations'!E18+'Operations'!E19-'Assets'!E14-'Assets'!E22,"Incomplete"),"Incomplete")</x:f>
        <x:v>0</x:v>
      </x:c>
      <x:c r="F17" s="45" t="n">
        <x:f>IFERROR(IF('Statements'!F7="Calculated",'Operations'!F18+'Operations'!F19-'Assets'!F14-'Assets'!F22,"Incomplete"),"Incomplete")</x:f>
        <x:v>0</x:v>
      </x:c>
      <x:c r="G17" s="45" t="n">
        <x:f>IFERROR(IF('Statements'!G7="Calculated",'Operations'!G18+'Operations'!G19-'Assets'!G14-'Assets'!G22,"Incomplete"),"Incomplete")</x:f>
        <x:v>0</x:v>
      </x:c>
      <x:c r="H17" s="45" t="n">
        <x:f>IFERROR(IF('Statements'!H7="Calculated",'Operations'!H18+'Operations'!H19-'Assets'!H14-'Assets'!H22,"Incomplete"),"Incomplete")</x:f>
        <x:v>0</x:v>
      </x:c>
      <x:c r="I17" s="45" t="n">
        <x:f>IFERROR(IF('Statements'!I7="Calculated",'Operations'!I18+'Operations'!I19-'Assets'!I14-'Assets'!I22,"Incomplete"),"Incomplete")</x:f>
        <x:v>0</x:v>
      </x:c>
      <x:c r="J17" s="1"/>
    </x:row>
    <x:row r="18" ht="25" customHeight="1">
      <x:c r="A18" s="1"/>
      <x:c r="B18" s="1"/>
      <x:c r="C18" s="1" t="str">
        <x:v>Draw policy difference</x:v>
      </x:c>
      <x:c r="D18" s="2"/>
      <x:c r="E18" s="45" t="n">
        <x:f>IFERROR(IF('Statements'!E7="Calculated",'Funding'!E31-MIN(MAX(0,'Assumptions'!$D$8-'Funding'!E28),MAX(0,'Assumptions'!$D$9-'Funding'!E12)),"Incomplete"),"Incomplete")</x:f>
        <x:v>0</x:v>
      </x:c>
      <x:c r="F18" s="45" t="n">
        <x:f>IFERROR(IF('Statements'!F7="Calculated",'Funding'!F31-MIN(MAX(0,'Assumptions'!$D$8-'Funding'!F28),MAX(0,'Assumptions'!$D$9-'Funding'!F12)),"Incomplete"),"Incomplete")</x:f>
        <x:v>0</x:v>
      </x:c>
      <x:c r="G18" s="45" t="n">
        <x:f>IFERROR(IF('Statements'!G7="Calculated",'Funding'!G31-MIN(MAX(0,'Assumptions'!$D$8-'Funding'!G28),MAX(0,'Assumptions'!$D$9-'Funding'!G12)),"Incomplete"),"Incomplete")</x:f>
        <x:v>0</x:v>
      </x:c>
      <x:c r="H18" s="45" t="n">
        <x:f>IFERROR(IF('Statements'!H7="Calculated",'Funding'!H31-MIN(MAX(0,'Assumptions'!$D$8-'Funding'!H28),MAX(0,'Assumptions'!$D$9-'Funding'!H12)),"Incomplete"),"Incomplete")</x:f>
        <x:v>0</x:v>
      </x:c>
      <x:c r="I18" s="45" t="n">
        <x:f>IFERROR(IF('Statements'!I7="Calculated",'Funding'!I31-MIN(MAX(0,'Assumptions'!$D$8-'Funding'!I28),MAX(0,'Assumptions'!$D$9-'Funding'!I12)),"Incomplete"),"Incomplete")</x:f>
        <x:v>0</x:v>
      </x:c>
      <x:c r="J18" s="1"/>
    </x:row>
    <x:row r="19" ht="25" customHeight="1">
      <x:c r="A19" s="1"/>
      <x:c r="B19" s="1"/>
      <x:c r="C19" s="1" t="str">
        <x:v>Revolver capacity excess</x:v>
      </x:c>
      <x:c r="D19" s="2"/>
      <x:c r="E19" s="45" t="n">
        <x:f>IFERROR(IF('Statements'!E7="Calculated",MAX(0,'Funding'!E35-'Assumptions'!$D$9),"Incomplete"),"Incomplete")</x:f>
        <x:v>0</x:v>
      </x:c>
      <x:c r="F19" s="45" t="n">
        <x:f>IFERROR(IF('Statements'!F7="Calculated",MAX(0,'Funding'!F35-'Assumptions'!$D$9),"Incomplete"),"Incomplete")</x:f>
        <x:v>0</x:v>
      </x:c>
      <x:c r="G19" s="45" t="n">
        <x:f>IFERROR(IF('Statements'!G7="Calculated",MAX(0,'Funding'!G35-'Assumptions'!$D$9),"Incomplete"),"Incomplete")</x:f>
        <x:v>0</x:v>
      </x:c>
      <x:c r="H19" s="45" t="n">
        <x:f>IFERROR(IF('Statements'!H7="Calculated",MAX(0,'Funding'!H35-'Assumptions'!$D$9),"Incomplete"),"Incomplete")</x:f>
        <x:v>0</x:v>
      </x:c>
      <x:c r="I19" s="45" t="n">
        <x:f>IFERROR(IF('Statements'!I7="Calculated",MAX(0,'Funding'!I35-'Assumptions'!$D$9),"Incomplete"),"Incomplete")</x:f>
        <x:v>0</x:v>
      </x:c>
      <x:c r="J19" s="1"/>
    </x:row>
    <x:row r="20" ht="25" customHeight="1">
      <x:c r="A20" s="1"/>
      <x:c r="B20" s="1"/>
      <x:c r="C20" s="1" t="str">
        <x:v>Unfunded cash-floor gap</x:v>
      </x:c>
      <x:c r="D20" s="2"/>
      <x:c r="E20" s="45" t="n">
        <x:f>IFERROR(IF('Statements'!E7="Calculated",'Funding'!E37,"Incomplete"),"Incomplete")</x:f>
        <x:v>0</x:v>
      </x:c>
      <x:c r="F20" s="45" t="n">
        <x:f>IFERROR(IF('Statements'!F7="Calculated",'Funding'!F37,"Incomplete"),"Incomplete")</x:f>
        <x:v>0</x:v>
      </x:c>
      <x:c r="G20" s="45" t="n">
        <x:f>IFERROR(IF('Statements'!G7="Calculated",'Funding'!G37,"Incomplete"),"Incomplete")</x:f>
        <x:v>0</x:v>
      </x:c>
      <x:c r="H20" s="45" t="n">
        <x:f>IFERROR(IF('Statements'!H7="Calculated",'Funding'!H37,"Incomplete"),"Incomplete")</x:f>
        <x:v>0</x:v>
      </x:c>
      <x:c r="I20" s="45" t="n">
        <x:f>IFERROR(IF('Statements'!I7="Calculated",'Funding'!I37,"Incomplete"),"Incomplete")</x:f>
        <x:v>0</x:v>
      </x:c>
      <x:c r="J20" s="1"/>
    </x:row>
    <x:row r="21" ht="25" customHeight="1">
      <x:c r="A21" s="1"/>
      <x:c r="B21" s="1"/>
      <x:c r="C21" s="1" t="str">
        <x:v>Gross / net PP&amp;E difference</x:v>
      </x:c>
      <x:c r="D21" s="2"/>
      <x:c r="E21" s="45" t="n">
        <x:f>IFERROR(IF('Statements'!E7="Calculated",'Assets'!E16-'Assets'!E12+'Assets'!E15,"Incomplete"),"Incomplete")</x:f>
        <x:v>0</x:v>
      </x:c>
      <x:c r="F21" s="45" t="n">
        <x:f>IFERROR(IF('Statements'!F7="Calculated",'Assets'!F16-'Assets'!F12+'Assets'!F15,"Incomplete"),"Incomplete")</x:f>
        <x:v>0</x:v>
      </x:c>
      <x:c r="G21" s="45" t="n">
        <x:f>IFERROR(IF('Statements'!G7="Calculated",'Assets'!G16-'Assets'!G12+'Assets'!G15,"Incomplete"),"Incomplete")</x:f>
        <x:v>0</x:v>
      </x:c>
      <x:c r="H21" s="45" t="n">
        <x:f>IFERROR(IF('Statements'!H7="Calculated",'Assets'!H16-'Assets'!H12+'Assets'!H15,"Incomplete"),"Incomplete")</x:f>
        <x:v>0</x:v>
      </x:c>
      <x:c r="I21" s="45" t="n">
        <x:f>IFERROR(IF('Statements'!I7="Calculated",'Assets'!I16-'Assets'!I12+'Assets'!I15,"Incomplete"),"Incomplete")</x:f>
        <x:v>0</x:v>
      </x:c>
      <x:c r="J21" s="1"/>
    </x:row>
    <x:row r="22" ht="25" customHeight="1">
      <x:c r="A22" s="1"/>
      <x:c r="B22" s="1"/>
      <x:c r="C22" s="1" t="str">
        <x:v>Gross / net software difference</x:v>
      </x:c>
      <x:c r="D22" s="2"/>
      <x:c r="E22" s="45" t="n">
        <x:f>IFERROR(IF('Statements'!E7="Calculated",'Assets'!E24-'Assets'!E20+'Assets'!E23,"Incomplete"),"Incomplete")</x:f>
        <x:v>0</x:v>
      </x:c>
      <x:c r="F22" s="45" t="n">
        <x:f>IFERROR(IF('Statements'!F7="Calculated",'Assets'!F24-'Assets'!F20+'Assets'!F23,"Incomplete"),"Incomplete")</x:f>
        <x:v>0</x:v>
      </x:c>
      <x:c r="G22" s="45" t="n">
        <x:f>IFERROR(IF('Statements'!G7="Calculated",'Assets'!G24-'Assets'!G20+'Assets'!G23,"Incomplete"),"Incomplete")</x:f>
        <x:v>0</x:v>
      </x:c>
      <x:c r="H22" s="45" t="n">
        <x:f>IFERROR(IF('Statements'!H7="Calculated",'Assets'!H24-'Assets'!H20+'Assets'!H23,"Incomplete"),"Incomplete")</x:f>
        <x:v>0</x:v>
      </x:c>
      <x:c r="I22" s="45" t="n">
        <x:f>IFERROR(IF('Statements'!I7="Calculated",'Assets'!I24-'Assets'!I20+'Assets'!I23,"Incomplete"),"Incomplete")</x:f>
        <x:v>0</x:v>
      </x:c>
      <x:c r="J22" s="1"/>
    </x:row>
    <x:row r="23" ht="25" customHeight="1">
      <x:c r="A23" s="1"/>
      <x:c r="B23" s="1"/>
      <x:c r="C23" s="1"/>
      <x:c r="D23" s="2"/>
      <x:c r="E23" s="46"/>
      <x:c r="F23" s="46"/>
      <x:c r="G23" s="46"/>
      <x:c r="H23" s="46"/>
      <x:c r="I23" s="46"/>
      <x:c r="J23" s="1"/>
    </x:row>
    <x:row r="24" ht="25" customHeight="1">
      <x:c r="A24" s="1"/>
      <x:c r="B24" s="1"/>
      <x:c r="C24" s="1" t="str">
        <x:v>Revenue / driver difference</x:v>
      </x:c>
      <x:c r="D24" s="2"/>
      <x:c r="E24" s="46" t="n">
        <x:f>IFERROR(IF('Statements'!E7="Calculated",'Operations'!E12-'Operations'!E10*'Operations'!E11,"Incomplete"),"Incomplete")</x:f>
        <x:v>0</x:v>
      </x:c>
      <x:c r="F24" s="46" t="n">
        <x:f>IFERROR(IF('Statements'!F7="Calculated",'Operations'!F12-'Operations'!F10*'Operations'!F11,"Incomplete"),"Incomplete")</x:f>
        <x:v>0</x:v>
      </x:c>
      <x:c r="G24" s="46" t="n">
        <x:f>IFERROR(IF('Statements'!G7="Calculated",'Operations'!G12-'Operations'!G10*'Operations'!G11,"Incomplete"),"Incomplete")</x:f>
        <x:v>0</x:v>
      </x:c>
      <x:c r="H24" s="46" t="n">
        <x:f>IFERROR(IF('Statements'!H7="Calculated",'Operations'!H12-'Operations'!H10*'Operations'!H11,"Incomplete"),"Incomplete")</x:f>
        <x:v>0</x:v>
      </x:c>
      <x:c r="I24" s="46" t="n">
        <x:f>IFERROR(IF('Statements'!I7="Calculated",'Operations'!I12-'Operations'!I10*'Operations'!I11,"Incomplete"),"Incomplete")</x:f>
        <x:v>0</x:v>
      </x:c>
      <x:c r="J24" s="1"/>
    </x:row>
    <x:row r="25" ht="25" customHeight="1">
      <x:c r="A25" s="1"/>
      <x:c r="B25" s="1"/>
      <x:c r="C25" s="1" t="str">
        <x:v>Interest timing difference</x:v>
      </x:c>
      <x:c r="D25" s="2"/>
      <x:c r="E25" s="46" t="n">
        <x:f>IFERROR(IF('Statements'!E7="Calculated",'Funding'!E13-('Funding'!E11+'Funding'!E12)*'Assumptions'!$D$12,"Incomplete"),"Incomplete")</x:f>
        <x:v>0</x:v>
      </x:c>
      <x:c r="F25" s="46" t="n">
        <x:f>IFERROR(IF('Statements'!F7="Calculated",'Funding'!F13-('Funding'!F11+'Funding'!F12)*'Assumptions'!$D$12,"Incomplete"),"Incomplete")</x:f>
        <x:v>0</x:v>
      </x:c>
      <x:c r="G25" s="46" t="n">
        <x:f>IFERROR(IF('Statements'!G7="Calculated",'Funding'!G13-('Funding'!G11+'Funding'!G12)*'Assumptions'!$D$12,"Incomplete"),"Incomplete")</x:f>
        <x:v>0</x:v>
      </x:c>
      <x:c r="H25" s="46" t="n">
        <x:f>IFERROR(IF('Statements'!H7="Calculated",'Funding'!H13-('Funding'!H11+'Funding'!H12)*'Assumptions'!$D$12,"Incomplete"),"Incomplete")</x:f>
        <x:v>0</x:v>
      </x:c>
      <x:c r="I25" s="46" t="n">
        <x:f>IFERROR(IF('Statements'!I7="Calculated",'Funding'!I13-('Funding'!I11+'Funding'!I12)*'Assumptions'!$D$12,"Incomplete"),"Incomplete")</x:f>
        <x:v>0</x:v>
      </x:c>
      <x:c r="J25" s="1"/>
    </x:row>
    <x:row r="26" ht="25" customHeight="1">
      <x:c r="A26" s="1"/>
      <x:c r="B26" s="1"/>
      <x:c r="C26" s="1" t="str">
        <x:v>Tax policy difference</x:v>
      </x:c>
      <x:c r="D26" s="2"/>
      <x:c r="E26" s="46" t="n">
        <x:f>IFERROR(IF('Statements'!E7="Calculated",'Operations'!E23-MAX(0,'Operations'!E22)*'Assumptions'!$D$13,"Incomplete"),"Incomplete")</x:f>
        <x:v>0</x:v>
      </x:c>
      <x:c r="F26" s="46" t="n">
        <x:f>IFERROR(IF('Statements'!F7="Calculated",'Operations'!F23-MAX(0,'Operations'!F22)*'Assumptions'!$D$13,"Incomplete"),"Incomplete")</x:f>
        <x:v>0</x:v>
      </x:c>
      <x:c r="G26" s="46" t="n">
        <x:f>IFERROR(IF('Statements'!G7="Calculated",'Operations'!G23-MAX(0,'Operations'!G22)*'Assumptions'!$D$13,"Incomplete"),"Incomplete")</x:f>
        <x:v>0</x:v>
      </x:c>
      <x:c r="H26" s="46" t="n">
        <x:f>IFERROR(IF('Statements'!H7="Calculated",'Operations'!H23-MAX(0,'Operations'!H22)*'Assumptions'!$D$13,"Incomplete"),"Incomplete")</x:f>
        <x:v>0</x:v>
      </x:c>
      <x:c r="I26" s="46" t="n">
        <x:f>IFERROR(IF('Statements'!I7="Calculated",'Operations'!I23-MAX(0,'Operations'!I22)*'Assumptions'!$D$13,"Incomplete"),"Incomplete")</x:f>
        <x:v>0</x:v>
      </x:c>
      <x:c r="J26" s="1"/>
    </x:row>
    <x:row r="27" ht="25" customHeight="1">
      <x:c r="A27" s="1"/>
      <x:c r="B27" s="1"/>
      <x:c r="C27" s="1"/>
      <x:c r="D27" s="2"/>
      <x:c r="E27" s="2"/>
      <x:c r="F27" s="2"/>
      <x:c r="G27" s="2"/>
      <x:c r="H27" s="2"/>
      <x:c r="I27" s="2"/>
      <x:c r="J27" s="1"/>
    </x:row>
    <x:row r="28" ht="25" customHeight="1">
      <x:c r="A28" s="1"/>
      <x:c r="B28" s="1"/>
      <x:c r="C28" s="1"/>
      <x:c r="D28" s="2"/>
      <x:c r="E28" s="2"/>
      <x:c r="F28" s="2"/>
      <x:c r="G28" s="2"/>
      <x:c r="H28" s="2"/>
      <x:c r="I28" s="2"/>
      <x:c r="J28" s="1"/>
    </x:row>
    <x:row r="29" ht="25" customHeight="1">
      <x:c r="A29" s="1"/>
      <x:c r="B29" s="1"/>
      <x:c r="C29" s="24" t="str">
        <x:v>Rows 10–18, 21–26 are numerical reconciliations; expected zero.</x:v>
      </x:c>
      <x:c r="D29" s="25"/>
      <x:c r="E29" s="25"/>
      <x:c r="F29" s="25"/>
      <x:c r="G29" s="25"/>
      <x:c r="H29" s="25"/>
      <x:c r="I29" s="25"/>
      <x:c r="J29" s="1"/>
    </x:row>
    <x:row r="30" ht="25" customHeight="1">
      <x:c r="A30" s="1"/>
      <x:c r="B30" s="1"/>
      <x:c r="C30" s="24"/>
      <x:c r="D30" s="25"/>
      <x:c r="E30" s="25"/>
      <x:c r="F30" s="25"/>
      <x:c r="G30" s="25"/>
      <x:c r="H30" s="25"/>
      <x:c r="I30" s="25"/>
      <x:c r="J30" s="1"/>
    </x:row>
    <x:row r="31" ht="25" customHeight="1">
      <x:c r="A31" s="1"/>
      <x:c r="B31" s="1"/>
      <x:c r="C31" s="24" t="str">
        <x:v>Row 19 tests facility capacity. Row 20 tests funding sufficiency: a positive gap can coexist with balanced statements.</x:v>
      </x:c>
      <x:c r="D31" s="25"/>
      <x:c r="E31" s="25"/>
      <x:c r="F31" s="25"/>
      <x:c r="G31" s="25"/>
      <x:c r="H31" s="25"/>
      <x:c r="I31" s="25"/>
      <x:c r="J31" s="1"/>
    </x:row>
    <x:row r="32" ht="25" customHeight="1">
      <x:c r="A32" s="1"/>
      <x:c r="B32" s="1"/>
      <x:c r="C32" s="24"/>
      <x:c r="D32" s="25"/>
      <x:c r="E32" s="25"/>
      <x:c r="F32" s="25"/>
      <x:c r="G32" s="25"/>
      <x:c r="H32" s="25"/>
      <x:c r="I32" s="25"/>
      <x:c r="J32" s="1"/>
    </x:row>
    <x:row r="33" ht="25" customHeight="1">
      <x:c r="A33" s="1"/>
      <x:c r="B33" s="1"/>
      <x:c r="C33" s="1"/>
      <x:c r="D33" s="2"/>
      <x:c r="E33" s="2"/>
      <x:c r="F33" s="2"/>
      <x:c r="G33" s="2"/>
      <x:c r="H33" s="2"/>
      <x:c r="I33" s="2"/>
      <x:c r="J33" s="1"/>
    </x:row>
    <x:row r="34" ht="25" customHeight="1">
      <x:c r="A34" s="1"/>
      <x:c r="B34" s="1"/>
      <x:c r="C34" s="24" t="str">
        <x:v>Numerical checks do not verify assumptions, facility availability, covenants, accounting policy or within-year cash needs.</x:v>
      </x:c>
      <x:c r="D34" s="25"/>
      <x:c r="E34" s="25"/>
      <x:c r="F34" s="25"/>
      <x:c r="G34" s="25"/>
      <x:c r="H34" s="25"/>
      <x:c r="I34" s="25"/>
      <x:c r="J34" s="1"/>
    </x:row>
    <x:row r="35" ht="25" customHeight="1">
      <x:c r="A35" s="1"/>
      <x:c r="B35" s="1"/>
      <x:c r="C35" s="24"/>
      <x:c r="D35" s="25"/>
      <x:c r="E35" s="25"/>
      <x:c r="F35" s="25"/>
      <x:c r="G35" s="25"/>
      <x:c r="H35" s="25"/>
      <x:c r="I35" s="25"/>
      <x:c r="J35" s="1"/>
    </x:row>
    <x:row r="36" ht="25" customHeight="1">
      <x:c r="A36" s="1"/>
      <x:c r="B36" s="1"/>
      <x:c r="C36" s="1"/>
      <x:c r="D36" s="2"/>
      <x:c r="E36" s="2"/>
      <x:c r="F36" s="2"/>
      <x:c r="G36" s="2"/>
      <x:c r="H36" s="2"/>
      <x:c r="I36" s="2"/>
      <x:c r="J36" s="1"/>
    </x:row>
    <x:row r="37" ht="25" customHeight="1">
      <x:c r="A37" s="1"/>
      <x:c r="B37" s="1"/>
      <x:c r="C37" s="24" t="str">
        <x:v>Formula consistency: compare repeated period logic; then change inputs and the horizon. A hardcoded correct answer can evade a static check.</x:v>
      </x:c>
      <x:c r="D37" s="25"/>
      <x:c r="E37" s="25"/>
      <x:c r="F37" s="25"/>
      <x:c r="G37" s="25"/>
      <x:c r="H37" s="25"/>
      <x:c r="I37" s="25"/>
      <x:c r="J37" s="1"/>
    </x:row>
    <x:row r="38" ht="25" customHeight="1">
      <x:c r="A38" s="1"/>
      <x:c r="B38" s="1"/>
      <x:c r="C38" s="24"/>
      <x:c r="D38" s="25"/>
      <x:c r="E38" s="25"/>
      <x:c r="F38" s="25"/>
      <x:c r="G38" s="25"/>
      <x:c r="H38" s="25"/>
      <x:c r="I38" s="25"/>
      <x:c r="J38" s="1"/>
    </x:row>
    <x:row r="39" ht="25" customHeight="1">
      <x:c r="A39" s="1"/>
      <x:c r="B39" s="1"/>
      <x:c r="C39" s="1"/>
      <x:c r="D39" s="2"/>
      <x:c r="E39" s="2"/>
      <x:c r="F39" s="2"/>
      <x:c r="G39" s="2"/>
      <x:c r="H39" s="2"/>
      <x:c r="I39" s="2"/>
      <x:c r="J39" s="1"/>
    </x:row>
    <x:row r="40" ht="25" customHeight="1">
      <x:c r="A40" s="1"/>
      <x:c r="B40" s="1"/>
      <x:c r="C40" s="1"/>
      <x:c r="D40" s="2"/>
      <x:c r="E40" s="2"/>
      <x:c r="F40" s="2"/>
      <x:c r="G40" s="2"/>
      <x:c r="H40" s="2"/>
      <x:c r="I40" s="2"/>
      <x:c r="J40" s="1"/>
    </x:row>
    <x:row r="41" ht="25" customHeight="1">
      <x:c r="A41" s="1"/>
      <x:c r="B41" s="1"/>
      <x:c r="C41" s="1"/>
      <x:c r="D41" s="2"/>
      <x:c r="E41" s="2"/>
      <x:c r="F41" s="2"/>
      <x:c r="G41" s="2"/>
      <x:c r="H41" s="2"/>
      <x:c r="I41" s="2"/>
      <x:c r="J41" s="1"/>
    </x:row>
    <x:row r="42" ht="25" customHeight="1">
      <x:c r="A42" s="1"/>
      <x:c r="B42" s="1"/>
      <x:c r="C42" s="1"/>
      <x:c r="D42" s="2"/>
      <x:c r="E42" s="2"/>
      <x:c r="F42" s="2"/>
      <x:c r="G42" s="2"/>
      <x:c r="H42" s="2"/>
      <x:c r="I42" s="2"/>
      <x:c r="J42" s="1"/>
    </x:row>
    <x:row r="43" ht="25" customHeight="1">
      <x:c r="A43" s="1"/>
      <x:c r="B43" s="1"/>
      <x:c r="C43" s="1"/>
      <x:c r="D43" s="2"/>
      <x:c r="E43" s="2"/>
      <x:c r="F43" s="2"/>
      <x:c r="G43" s="2"/>
      <x:c r="H43" s="2"/>
      <x:c r="I43" s="2"/>
      <x:c r="J43" s="1"/>
    </x:row>
    <x:row r="44" ht="25" customHeight="1">
      <x:c r="A44" s="1"/>
      <x:c r="B44" s="1"/>
      <x:c r="C44" s="1"/>
      <x:c r="D44" s="2"/>
      <x:c r="E44" s="2"/>
      <x:c r="F44" s="2"/>
      <x:c r="G44" s="2"/>
      <x:c r="H44" s="2"/>
      <x:c r="I44" s="2"/>
      <x:c r="J44" s="1"/>
    </x:row>
    <x:row r="45" ht="25" customHeight="1">
      <x:c r="A45" s="1"/>
      <x:c r="B45" s="1"/>
      <x:c r="C45" s="1"/>
      <x:c r="D45" s="2"/>
      <x:c r="E45" s="2"/>
      <x:c r="F45" s="2"/>
      <x:c r="G45" s="2"/>
      <x:c r="H45" s="2"/>
      <x:c r="I45" s="2"/>
      <x:c r="J45" s="1"/>
    </x:row>
    <x:row r="46" ht="25" customHeight="1">
      <x:c r="A46" s="1"/>
      <x:c r="B46" s="1"/>
      <x:c r="C46" s="1"/>
      <x:c r="D46" s="2"/>
      <x:c r="E46" s="2"/>
      <x:c r="F46" s="2"/>
      <x:c r="G46" s="2"/>
      <x:c r="H46" s="2"/>
      <x:c r="I46" s="2"/>
      <x:c r="J46" s="1"/>
    </x:row>
    <x:row r="47" ht="25" customHeight="1">
      <x:c r="A47" s="1"/>
      <x:c r="B47" s="1"/>
      <x:c r="C47" s="1"/>
      <x:c r="D47" s="2"/>
      <x:c r="E47" s="2"/>
      <x:c r="F47" s="2"/>
      <x:c r="G47" s="2"/>
      <x:c r="H47" s="2"/>
      <x:c r="I47" s="2"/>
      <x:c r="J47" s="1"/>
    </x:row>
    <x:row r="48" ht="25" customHeight="1">
      <x:c r="A48" s="1"/>
      <x:c r="B48" s="1"/>
      <x:c r="C48" s="1"/>
      <x:c r="D48" s="2"/>
      <x:c r="E48" s="2"/>
      <x:c r="F48" s="2"/>
      <x:c r="G48" s="2"/>
      <x:c r="H48" s="2"/>
      <x:c r="I48" s="2"/>
      <x:c r="J48" s="1"/>
    </x:row>
    <x:row r="49" ht="25" customHeight="1">
      <x:c r="A49" s="1"/>
      <x:c r="B49" s="1"/>
      <x:c r="C49" s="1"/>
      <x:c r="D49" s="2"/>
      <x:c r="E49" s="2"/>
      <x:c r="F49" s="2"/>
      <x:c r="G49" s="2"/>
      <x:c r="H49" s="2"/>
      <x:c r="I49" s="2"/>
      <x:c r="J49" s="1"/>
    </x:row>
    <x:row r="50" ht="25" customHeight="1">
      <x:c r="A50" s="1"/>
      <x:c r="B50" s="1"/>
      <x:c r="C50" s="1"/>
      <x:c r="D50" s="2"/>
      <x:c r="E50" s="2"/>
      <x:c r="F50" s="2"/>
      <x:c r="G50" s="2"/>
      <x:c r="H50" s="2"/>
      <x:c r="I50" s="2"/>
      <x:c r="J50" s="1"/>
    </x:row>
    <x:row r="51" ht="25" customHeight="1">
      <x:c r="A51" s="1"/>
      <x:c r="B51" s="1"/>
      <x:c r="C51" s="1"/>
      <x:c r="D51" s="2"/>
      <x:c r="E51" s="2"/>
      <x:c r="F51" s="2"/>
      <x:c r="G51" s="2"/>
      <x:c r="H51" s="2"/>
      <x:c r="I51" s="2"/>
      <x:c r="J51" s="1"/>
    </x:row>
    <x:row r="52" ht="25" customHeight="1">
      <x:c r="A52" s="1"/>
      <x:c r="B52" s="1"/>
      <x:c r="C52" s="1"/>
      <x:c r="D52" s="2"/>
      <x:c r="E52" s="2"/>
      <x:c r="F52" s="2"/>
      <x:c r="G52" s="2"/>
      <x:c r="H52" s="2"/>
      <x:c r="I52" s="2"/>
      <x:c r="J52" s="1"/>
    </x:row>
    <x:row r="53" ht="25" customHeight="1">
      <x:c r="A53" s="1"/>
      <x:c r="B53" s="1"/>
      <x:c r="C53" s="1"/>
      <x:c r="D53" s="2"/>
      <x:c r="E53" s="2"/>
      <x:c r="F53" s="2"/>
      <x:c r="G53" s="2"/>
      <x:c r="H53" s="2"/>
      <x:c r="I53" s="2"/>
      <x:c r="J53" s="1"/>
    </x:row>
    <x:row r="54" ht="25" customHeight="1">
      <x:c r="A54" s="1"/>
      <x:c r="B54" s="1"/>
      <x:c r="C54" s="1"/>
      <x:c r="D54" s="2"/>
      <x:c r="E54" s="2"/>
      <x:c r="F54" s="2"/>
      <x:c r="G54" s="2"/>
      <x:c r="H54" s="2"/>
      <x:c r="I54" s="2"/>
      <x:c r="J54" s="1"/>
    </x:row>
    <x:row r="55" ht="25" customHeight="1">
      <x:c r="A55" s="1"/>
      <x:c r="B55" s="1"/>
      <x:c r="C55" s="1"/>
      <x:c r="D55" s="2"/>
      <x:c r="E55" s="2"/>
      <x:c r="F55" s="2"/>
      <x:c r="G55" s="2"/>
      <x:c r="H55" s="2"/>
      <x:c r="I55" s="2"/>
      <x:c r="J55" s="1"/>
    </x:row>
    <x:row r="56" ht="25" customHeight="1">
      <x:c r="A56" s="1"/>
      <x:c r="B56" s="1"/>
      <x:c r="C56" s="1"/>
      <x:c r="D56" s="2"/>
      <x:c r="E56" s="2"/>
      <x:c r="F56" s="2"/>
      <x:c r="G56" s="2"/>
      <x:c r="H56" s="2"/>
      <x:c r="I56" s="2"/>
      <x:c r="J56" s="1"/>
    </x:row>
    <x:row r="57" ht="25" customHeight="1">
      <x:c r="A57" s="1"/>
      <x:c r="B57" s="1"/>
      <x:c r="C57" s="1"/>
      <x:c r="D57" s="2"/>
      <x:c r="E57" s="2"/>
      <x:c r="F57" s="2"/>
      <x:c r="G57" s="2"/>
      <x:c r="H57" s="2"/>
      <x:c r="I57" s="2"/>
      <x:c r="J57" s="1"/>
    </x:row>
    <x:row r="58" ht="25" customHeight="1">
      <x:c r="A58" s="1"/>
      <x:c r="B58" s="1"/>
      <x:c r="C58" s="1"/>
      <x:c r="D58" s="2"/>
      <x:c r="E58" s="2"/>
      <x:c r="F58" s="2"/>
      <x:c r="G58" s="2"/>
      <x:c r="H58" s="2"/>
      <x:c r="I58" s="2"/>
      <x:c r="J58" s="1"/>
    </x:row>
    <x:row r="59" ht="25" customHeight="1">
      <x:c r="A59" s="1"/>
      <x:c r="B59" s="1"/>
      <x:c r="C59" s="1"/>
      <x:c r="D59" s="2"/>
      <x:c r="E59" s="2"/>
      <x:c r="F59" s="2"/>
      <x:c r="G59" s="2"/>
      <x:c r="H59" s="2"/>
      <x:c r="I59" s="2"/>
      <x:c r="J59" s="1"/>
    </x:row>
    <x:row r="60" ht="25" customHeight="1">
      <x:c r="A60" s="1"/>
      <x:c r="B60" s="1"/>
      <x:c r="C60" s="1"/>
      <x:c r="D60" s="2"/>
      <x:c r="E60" s="2"/>
      <x:c r="F60" s="2"/>
      <x:c r="G60" s="2"/>
      <x:c r="H60" s="2"/>
      <x:c r="I60" s="2"/>
      <x:c r="J60" s="1"/>
    </x:row>
    <x:row r="61" ht="25" customHeight="1">
      <x:c r="A61" s="1"/>
      <x:c r="B61" s="1"/>
      <x:c r="C61" s="1"/>
      <x:c r="D61" s="2"/>
      <x:c r="E61" s="2"/>
      <x:c r="F61" s="2"/>
      <x:c r="G61" s="2"/>
      <x:c r="H61" s="2"/>
      <x:c r="I61" s="2"/>
      <x:c r="J61" s="1"/>
    </x:row>
    <x:row r="62" ht="25" customHeight="1">
      <x:c r="A62" s="1"/>
      <x:c r="B62" s="1"/>
      <x:c r="C62" s="1"/>
      <x:c r="D62" s="2"/>
      <x:c r="E62" s="2"/>
      <x:c r="F62" s="2"/>
      <x:c r="G62" s="2"/>
      <x:c r="H62" s="2"/>
      <x:c r="I62" s="2"/>
      <x:c r="J62" s="1"/>
    </x:row>
    <x:row r="63" ht="25" customHeight="1">
      <x:c r="A63" s="1"/>
      <x:c r="B63" s="1"/>
      <x:c r="C63" s="1"/>
      <x:c r="D63" s="2"/>
      <x:c r="E63" s="2"/>
      <x:c r="F63" s="2"/>
      <x:c r="G63" s="2"/>
      <x:c r="H63" s="2"/>
      <x:c r="I63" s="2"/>
      <x:c r="J63" s="1"/>
    </x:row>
    <x:row r="64" ht="25" customHeight="1">
      <x:c r="A64" s="1"/>
      <x:c r="B64" s="1"/>
      <x:c r="C64" s="1"/>
      <x:c r="D64" s="2"/>
      <x:c r="E64" s="2"/>
      <x:c r="F64" s="2"/>
      <x:c r="G64" s="2"/>
      <x:c r="H64" s="2"/>
      <x:c r="I64" s="2"/>
      <x:c r="J64" s="1"/>
    </x:row>
    <x:row r="65" ht="25" customHeight="1">
      <x:c r="A65" s="1"/>
      <x:c r="B65" s="1"/>
      <x:c r="C65" s="1"/>
      <x:c r="D65" s="2"/>
      <x:c r="E65" s="2"/>
      <x:c r="F65" s="2"/>
      <x:c r="G65" s="2"/>
      <x:c r="H65" s="2"/>
      <x:c r="I65" s="2"/>
      <x:c r="J65" s="1"/>
    </x:row>
    <x:row r="66" ht="25" customHeight="1">
      <x:c r="A66" s="1"/>
      <x:c r="B66" s="1"/>
      <x:c r="C66" s="1"/>
      <x:c r="D66" s="2"/>
      <x:c r="E66" s="2"/>
      <x:c r="F66" s="2"/>
      <x:c r="G66" s="2"/>
      <x:c r="H66" s="2"/>
      <x:c r="I66" s="2"/>
      <x:c r="J66" s="1"/>
    </x:row>
    <x:row r="67" ht="25" customHeight="1">
      <x:c r="A67" s="1"/>
      <x:c r="B67" s="1"/>
      <x:c r="C67" s="1"/>
      <x:c r="D67" s="2"/>
      <x:c r="E67" s="2"/>
      <x:c r="F67" s="2"/>
      <x:c r="G67" s="2"/>
      <x:c r="H67" s="2"/>
      <x:c r="I67" s="2"/>
      <x:c r="J67" s="1"/>
    </x:row>
    <x:row r="68" ht="25" customHeight="1">
      <x:c r="A68" s="1"/>
      <x:c r="B68" s="1"/>
      <x:c r="C68" s="1"/>
      <x:c r="D68" s="2"/>
      <x:c r="E68" s="2"/>
      <x:c r="F68" s="2"/>
      <x:c r="G68" s="2"/>
      <x:c r="H68" s="2"/>
      <x:c r="I68" s="2"/>
      <x:c r="J68" s="1"/>
    </x:row>
    <x:row r="69" ht="25" customHeight="1">
      <x:c r="A69" s="1"/>
      <x:c r="B69" s="1"/>
      <x:c r="C69" s="1"/>
      <x:c r="D69" s="2"/>
      <x:c r="E69" s="2"/>
      <x:c r="F69" s="2"/>
      <x:c r="G69" s="2"/>
      <x:c r="H69" s="2"/>
      <x:c r="I69" s="2"/>
      <x:c r="J69" s="1"/>
    </x:row>
    <x:row r="70" ht="25" customHeight="1">
      <x:c r="A70" s="1"/>
      <x:c r="B70" s="1"/>
      <x:c r="C70" s="1"/>
      <x:c r="D70" s="2"/>
      <x:c r="E70" s="2"/>
      <x:c r="F70" s="2"/>
      <x:c r="G70" s="2"/>
      <x:c r="H70" s="2"/>
      <x:c r="I70" s="2"/>
      <x:c r="J70" s="1"/>
    </x:row>
    <x:row r="71" ht="25" customHeight="1">
      <x:c r="A71" s="1"/>
      <x:c r="B71" s="1"/>
      <x:c r="C71" s="1"/>
      <x:c r="D71" s="2"/>
      <x:c r="E71" s="2"/>
      <x:c r="F71" s="2"/>
      <x:c r="G71" s="2"/>
      <x:c r="H71" s="2"/>
      <x:c r="I71" s="2"/>
      <x:c r="J71" s="1"/>
    </x:row>
    <x:row r="72" ht="25" customHeight="1">
      <x:c r="A72" s="1"/>
      <x:c r="B72" s="1"/>
      <x:c r="C72" s="1"/>
      <x:c r="D72" s="2"/>
      <x:c r="E72" s="2"/>
      <x:c r="F72" s="2"/>
      <x:c r="G72" s="2"/>
      <x:c r="H72" s="2"/>
      <x:c r="I72" s="2"/>
      <x:c r="J72" s="1"/>
    </x:row>
    <x:row r="73" ht="25" customHeight="1">
      <x:c r="A73" s="1"/>
      <x:c r="B73" s="1"/>
      <x:c r="C73" s="1"/>
      <x:c r="D73" s="2"/>
      <x:c r="E73" s="2"/>
      <x:c r="F73" s="2"/>
      <x:c r="G73" s="2"/>
      <x:c r="H73" s="2"/>
      <x:c r="I73" s="2"/>
      <x:c r="J73" s="1"/>
    </x:row>
    <x:row r="74" ht="25" customHeight="1">
      <x:c r="A74" s="1"/>
      <x:c r="B74" s="1"/>
      <x:c r="C74" s="1"/>
      <x:c r="D74" s="2"/>
      <x:c r="E74" s="2"/>
      <x:c r="F74" s="2"/>
      <x:c r="G74" s="2"/>
      <x:c r="H74" s="2"/>
      <x:c r="I74" s="2"/>
      <x:c r="J74" s="1"/>
    </x:row>
    <x:row r="75" ht="25" customHeight="1">
      <x:c r="A75" s="1"/>
      <x:c r="B75" s="1"/>
      <x:c r="C75" s="1"/>
      <x:c r="D75" s="2"/>
      <x:c r="E75" s="2"/>
      <x:c r="F75" s="2"/>
      <x:c r="G75" s="2"/>
      <x:c r="H75" s="2"/>
      <x:c r="I75" s="2"/>
      <x:c r="J75" s="1"/>
    </x:row>
    <x:row r="76" ht="25" customHeight="1">
      <x:c r="A76" s="1"/>
      <x:c r="B76" s="1"/>
      <x:c r="C76" s="1"/>
      <x:c r="D76" s="2"/>
      <x:c r="E76" s="2"/>
      <x:c r="F76" s="2"/>
      <x:c r="G76" s="2"/>
      <x:c r="H76" s="2"/>
      <x:c r="I76" s="2"/>
      <x:c r="J76" s="1"/>
    </x:row>
    <x:row r="77" ht="25" customHeight="1">
      <x:c r="A77" s="1"/>
      <x:c r="B77" s="1"/>
      <x:c r="C77" s="1"/>
      <x:c r="D77" s="2"/>
      <x:c r="E77" s="2"/>
      <x:c r="F77" s="2"/>
      <x:c r="G77" s="2"/>
      <x:c r="H77" s="2"/>
      <x:c r="I77" s="2"/>
      <x:c r="J77" s="1"/>
    </x:row>
    <x:row r="78" ht="25" customHeight="1">
      <x:c r="A78" s="1"/>
      <x:c r="B78" s="1"/>
      <x:c r="C78" s="1"/>
      <x:c r="D78" s="2"/>
      <x:c r="E78" s="2"/>
      <x:c r="F78" s="2"/>
      <x:c r="G78" s="2"/>
      <x:c r="H78" s="2"/>
      <x:c r="I78" s="2"/>
      <x:c r="J78" s="1"/>
    </x:row>
    <x:row r="79" ht="25" customHeight="1">
      <x:c r="A79" s="1"/>
      <x:c r="B79" s="1"/>
      <x:c r="C79" s="1"/>
      <x:c r="D79" s="2"/>
      <x:c r="E79" s="2"/>
      <x:c r="F79" s="2"/>
      <x:c r="G79" s="2"/>
      <x:c r="H79" s="2"/>
      <x:c r="I79" s="2"/>
      <x:c r="J79" s="1"/>
    </x:row>
    <x:row r="80" ht="25" customHeight="1">
      <x:c r="A80" s="1"/>
      <x:c r="B80" s="1"/>
      <x:c r="C80" s="1"/>
      <x:c r="D80" s="2"/>
      <x:c r="E80" s="2"/>
      <x:c r="F80" s="2"/>
      <x:c r="G80" s="2"/>
      <x:c r="H80" s="2"/>
      <x:c r="I80" s="2"/>
      <x:c r="J80" s="1"/>
    </x:row>
    <x:row r="81" ht="25" customHeight="1">
      <x:c r="A81" s="1"/>
      <x:c r="B81" s="1"/>
      <x:c r="C81" s="1"/>
      <x:c r="D81" s="2"/>
      <x:c r="E81" s="2"/>
      <x:c r="F81" s="2"/>
      <x:c r="G81" s="2"/>
      <x:c r="H81" s="2"/>
      <x:c r="I81" s="2"/>
      <x:c r="J81" s="1"/>
    </x:row>
    <x:row r="82" ht="25" customHeight="1">
      <x:c r="A82" s="1"/>
      <x:c r="B82" s="1"/>
      <x:c r="C82" s="1"/>
      <x:c r="D82" s="2"/>
      <x:c r="E82" s="2"/>
      <x:c r="F82" s="2"/>
      <x:c r="G82" s="2"/>
      <x:c r="H82" s="2"/>
      <x:c r="I82" s="2"/>
      <x:c r="J82" s="1"/>
    </x:row>
    <x:row r="83" ht="25" customHeight="1">
      <x:c r="A83" s="1"/>
      <x:c r="B83" s="1"/>
      <x:c r="C83" s="1"/>
      <x:c r="D83" s="2"/>
      <x:c r="E83" s="2"/>
      <x:c r="F83" s="2"/>
      <x:c r="G83" s="2"/>
      <x:c r="H83" s="2"/>
      <x:c r="I83" s="2"/>
      <x:c r="J83" s="1"/>
    </x:row>
    <x:row r="84" ht="25" customHeight="1">
      <x:c r="A84" s="1"/>
      <x:c r="B84" s="1"/>
      <x:c r="C84" s="1"/>
      <x:c r="D84" s="2"/>
      <x:c r="E84" s="2"/>
      <x:c r="F84" s="2"/>
      <x:c r="G84" s="2"/>
      <x:c r="H84" s="2"/>
      <x:c r="I84" s="2"/>
      <x:c r="J84" s="1"/>
    </x:row>
    <x:row r="85" ht="25" customHeight="1">
      <x:c r="A85" s="1"/>
      <x:c r="B85" s="1"/>
      <x:c r="C85" s="1"/>
      <x:c r="D85" s="2"/>
      <x:c r="E85" s="2"/>
      <x:c r="F85" s="2"/>
      <x:c r="G85" s="2"/>
      <x:c r="H85" s="2"/>
      <x:c r="I85" s="2"/>
      <x:c r="J85" s="1"/>
    </x:row>
    <x:row r="86" ht="25" customHeight="1">
      <x:c r="A86" s="1"/>
      <x:c r="B86" s="1"/>
      <x:c r="C86" s="1"/>
      <x:c r="D86" s="2"/>
      <x:c r="E86" s="2"/>
      <x:c r="F86" s="2"/>
      <x:c r="G86" s="2"/>
      <x:c r="H86" s="2"/>
      <x:c r="I86" s="2"/>
      <x:c r="J86" s="1"/>
    </x:row>
    <x:row r="87" ht="25" customHeight="1">
      <x:c r="A87" s="1"/>
      <x:c r="B87" s="1"/>
      <x:c r="C87" s="1"/>
      <x:c r="D87" s="2"/>
      <x:c r="E87" s="2"/>
      <x:c r="F87" s="2"/>
      <x:c r="G87" s="2"/>
      <x:c r="H87" s="2"/>
      <x:c r="I87" s="2"/>
      <x:c r="J87" s="1"/>
    </x:row>
    <x:row r="88" ht="25" customHeight="1">
      <x:c r="A88" s="1"/>
      <x:c r="B88" s="1"/>
      <x:c r="C88" s="1"/>
      <x:c r="D88" s="2"/>
      <x:c r="E88" s="2"/>
      <x:c r="F88" s="2"/>
      <x:c r="G88" s="2"/>
      <x:c r="H88" s="2"/>
      <x:c r="I88" s="2"/>
      <x:c r="J88" s="1"/>
    </x:row>
    <x:row r="89" ht="25" customHeight="1">
      <x:c r="A89" s="1"/>
      <x:c r="B89" s="1"/>
      <x:c r="C89" s="1"/>
      <x:c r="D89" s="2"/>
      <x:c r="E89" s="2"/>
      <x:c r="F89" s="2"/>
      <x:c r="G89" s="2"/>
      <x:c r="H89" s="2"/>
      <x:c r="I89" s="2"/>
      <x:c r="J89" s="1"/>
    </x:row>
    <x:row r="90" ht="25" customHeight="1">
      <x:c r="A90" s="1"/>
      <x:c r="B90" s="1"/>
      <x:c r="C90" s="1"/>
      <x:c r="D90" s="2"/>
      <x:c r="E90" s="2"/>
      <x:c r="F90" s="2"/>
      <x:c r="G90" s="2"/>
      <x:c r="H90" s="2"/>
      <x:c r="I90" s="2"/>
      <x:c r="J90" s="1"/>
    </x:row>
    <x:row r="91" ht="25" customHeight="1">
      <x:c r="A91" s="1"/>
      <x:c r="B91" s="1"/>
      <x:c r="C91" s="1"/>
      <x:c r="D91" s="2"/>
      <x:c r="E91" s="2"/>
      <x:c r="F91" s="2"/>
      <x:c r="G91" s="2"/>
      <x:c r="H91" s="2"/>
      <x:c r="I91" s="2"/>
      <x:c r="J91" s="1"/>
    </x:row>
    <x:row r="92" ht="25" customHeight="1">
      <x:c r="A92" s="1"/>
      <x:c r="B92" s="1"/>
      <x:c r="C92" s="1"/>
      <x:c r="D92" s="2"/>
      <x:c r="E92" s="2"/>
      <x:c r="F92" s="2"/>
      <x:c r="G92" s="2"/>
      <x:c r="H92" s="2"/>
      <x:c r="I92" s="2"/>
      <x:c r="J92" s="1"/>
    </x:row>
    <x:row r="93" ht="25" customHeight="1">
      <x:c r="A93" s="1"/>
      <x:c r="B93" s="1"/>
      <x:c r="C93" s="1"/>
      <x:c r="D93" s="2"/>
      <x:c r="E93" s="2"/>
      <x:c r="F93" s="2"/>
      <x:c r="G93" s="2"/>
      <x:c r="H93" s="2"/>
      <x:c r="I93" s="2"/>
      <x:c r="J93" s="1"/>
    </x:row>
    <x:row r="94" ht="25" customHeight="1">
      <x:c r="A94" s="1"/>
      <x:c r="B94" s="1"/>
      <x:c r="C94" s="1"/>
      <x:c r="D94" s="2"/>
      <x:c r="E94" s="2"/>
      <x:c r="F94" s="2"/>
      <x:c r="G94" s="2"/>
      <x:c r="H94" s="2"/>
      <x:c r="I94" s="2"/>
      <x:c r="J94" s="1"/>
    </x:row>
    <x:row r="95" ht="25" customHeight="1">
      <x:c r="A95" s="1"/>
      <x:c r="B95" s="1"/>
      <x:c r="C95" s="1"/>
      <x:c r="D95" s="2"/>
      <x:c r="E95" s="2"/>
      <x:c r="F95" s="2"/>
      <x:c r="G95" s="2"/>
      <x:c r="H95" s="2"/>
      <x:c r="I95" s="2"/>
      <x:c r="J95" s="1"/>
    </x:row>
    <x:row r="96" ht="25" customHeight="1">
      <x:c r="A96" s="1"/>
      <x:c r="B96" s="1"/>
      <x:c r="C96" s="1"/>
      <x:c r="D96" s="2"/>
      <x:c r="E96" s="2"/>
      <x:c r="F96" s="2"/>
      <x:c r="G96" s="2"/>
      <x:c r="H96" s="2"/>
      <x:c r="I96" s="2"/>
      <x:c r="J96" s="1"/>
    </x:row>
    <x:row r="97" ht="25" customHeight="1">
      <x:c r="A97" s="1"/>
      <x:c r="B97" s="1"/>
      <x:c r="C97" s="1"/>
      <x:c r="D97" s="2"/>
      <x:c r="E97" s="2"/>
      <x:c r="F97" s="2"/>
      <x:c r="G97" s="2"/>
      <x:c r="H97" s="2"/>
      <x:c r="I97" s="2"/>
      <x:c r="J97" s="1"/>
    </x:row>
    <x:row r="98" ht="25" customHeight="1">
      <x:c r="A98" s="1"/>
      <x:c r="B98" s="1"/>
      <x:c r="C98" s="1"/>
      <x:c r="D98" s="2"/>
      <x:c r="E98" s="2"/>
      <x:c r="F98" s="2"/>
      <x:c r="G98" s="2"/>
      <x:c r="H98" s="2"/>
      <x:c r="I98" s="2"/>
      <x:c r="J98" s="1"/>
    </x:row>
    <x:row r="99" ht="25" customHeight="1">
      <x:c r="A99" s="1"/>
      <x:c r="B99" s="1"/>
      <x:c r="C99" s="1"/>
      <x:c r="D99" s="2"/>
      <x:c r="E99" s="2"/>
      <x:c r="F99" s="2"/>
      <x:c r="G99" s="2"/>
      <x:c r="H99" s="2"/>
      <x:c r="I99" s="2"/>
      <x:c r="J99" s="1"/>
    </x:row>
    <x:row r="100" ht="25" customHeight="1">
      <x:c r="A100" s="1"/>
      <x:c r="B100" s="1"/>
      <x:c r="C100" s="1"/>
      <x:c r="D100" s="2"/>
      <x:c r="E100" s="2"/>
      <x:c r="F100" s="2"/>
      <x:c r="G100" s="2"/>
      <x:c r="H100" s="2"/>
      <x:c r="I100" s="2"/>
      <x:c r="J100" s="1"/>
    </x:row>
  </x:sheetData>
  <x:mergeCells>
    <x:mergeCell ref="C2:I2"/>
    <x:mergeCell ref="C5:I5"/>
    <x:mergeCell ref="C29:I30"/>
    <x:mergeCell ref="C31:I32"/>
    <x:mergeCell ref="C34:I35"/>
    <x:mergeCell ref="C37:I38"/>
  </x:mergeCells>
  <x:conditionalFormatting sqref="E10:I26">
    <x:cfRule type="expression" dxfId="0" priority="1">
      <x:formula>IF(ISNUMBER(E10),ABS(E10)&gt;0.000001,E10="Incomplete")</x:formula>
    </x:cfRule>
  </x:conditionalFormatting>
  <x:pageMargins left="0.7" right="0.7" top="0.75" bottom="0.75" header="0.3" footer="0.3"/>
</x:worksheet>
</file>