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faf31d220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" sheetId="1" r:id="Rebc1b70b9d4642dc"/>
    <x:sheet xmlns:r="http://schemas.openxmlformats.org/officeDocument/2006/relationships" name="Assumptions" sheetId="2" r:id="Rd389dc66f8ea4426"/>
    <x:sheet xmlns:r="http://schemas.openxmlformats.org/officeDocument/2006/relationships" name="Operations" sheetId="3" r:id="Rb6ba4f6c9d16416e"/>
    <x:sheet xmlns:r="http://schemas.openxmlformats.org/officeDocument/2006/relationships" name="Collections" sheetId="4" r:id="R70892ffe8a924105"/>
    <x:sheet xmlns:r="http://schemas.openxmlformats.org/officeDocument/2006/relationships" name="Funding" sheetId="5" r:id="R337bd8ab83564db2"/>
    <x:sheet xmlns:r="http://schemas.openxmlformats.org/officeDocument/2006/relationships" name="Sources" sheetId="6" r:id="R288ebc8eea7a4fd3"/>
    <x:sheet xmlns:r="http://schemas.openxmlformats.org/officeDocument/2006/relationships" name="Review" sheetId="7" r:id="R95637f52198245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—&quot;"/>
    <x:numFmt numFmtId="201" formatCode="mmm-yy"/>
    <x:numFmt numFmtId="202" formatCode="0.0%;(0.0%);&quot;—&quot;"/>
    <x:numFmt numFmtId="203" formatCode="0"/>
    <x:numFmt numFmtId="204" formatCode="0.00;(0.00);0.00"/>
  </x:numFmts>
  <x:fonts count="10">
    <x:font>
      <x:sz val="11"/>
      <x:name val="Carlito"/>
    </x:font>
    <x:font>
      <x:sz val="11"/>
      <x:color rgb="FF20272B"/>
      <x:name val="Arial"/>
    </x:font>
    <x:font>
      <x:sz val="16"/>
      <x:color rgb="FF20272B"/>
      <x:name val="Arial"/>
    </x:font>
    <x:font>
      <x:b/>
      <x:sz val="16"/>
      <x:color rgb="FF20272B"/>
      <x:name val="Arial"/>
    </x:font>
    <x:font>
      <x:sz val="11"/>
      <x:color rgb="FF18734D"/>
      <x:name val="Arial"/>
    </x:font>
    <x:font>
      <x:sz val="11"/>
      <x:color rgb="FF1B58A0"/>
      <x:name val="Arial"/>
    </x:font>
    <x:font>
      <x:b/>
      <x:sz val="11"/>
      <x:color rgb="FFFFFFFF"/>
      <x:name val="Arial"/>
    </x:font>
    <x:font>
      <x:b/>
      <x:sz val="11"/>
      <x:color rgb="FF20272B"/>
      <x:name val="Arial"/>
    </x:font>
    <x:font>
      <x:b/>
      <x:sz val="11"/>
      <x:color rgb="FF18734D"/>
      <x:name val="Arial"/>
    </x:font>
    <x:font>
      <x:b/>
      <x:sz val="11"/>
      <x:color rgb="FF1B58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B"/>
      </x:patternFill>
    </x:fill>
    <x:fill>
      <x:patternFill patternType="solid">
        <x:fgColor rgb="FF203B35"/>
      </x:patternFill>
    </x:fill>
  </x:fills>
  <x:borders count="3">
    <x:border/>
    <x:border>
      <x:left style="dotted">
        <x:color rgb="FF597E6F"/>
      </x:left>
      <x:right style="dotted">
        <x:color rgb="FF597E6F"/>
      </x:right>
      <x:top style="dotted">
        <x:color rgb="FF597E6F"/>
      </x:top>
      <x:bottom style="dotted">
        <x:color rgb="FF597E6F"/>
      </x:bottom>
    </x:border>
    <x:border>
      <x:bottom style="thin">
        <x:color rgb="FF6B9989"/>
      </x:bottom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3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2" borderId="0" xfId="0" applyNumberFormat="1" applyFont="1" applyFill="1" applyBorder="1"/>
    <x:xf numFmtId="202" fontId="1" fillId="2" borderId="0" xfId="0" applyNumberFormat="1" applyFont="1" applyFill="1" applyBorder="1"/>
    <x:xf numFmtId="203" fontId="5" fillId="2" borderId="0" xfId="0" applyNumberFormat="1" applyFont="1" applyFill="1" applyBorder="1"/>
    <x:xf numFmtId="201" fontId="5" fillId="2" borderId="0" xfId="0" applyNumberFormat="1" applyFont="1" applyFill="1" applyBorder="1"/>
    <x:xf numFmtId="200" fontId="5" fillId="2" borderId="0" xfId="0" applyNumberFormat="1" applyFont="1" applyFill="1" applyBorder="1"/>
    <x:xf numFmtId="202" fontId="5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horizontal="right"/>
    </x:xf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0" fontId="6" fillId="3" borderId="0" xfId="0" applyNumberFormat="1" applyFont="1" applyFill="1" applyBorder="1" applyAlignment="1">
      <x:alignment horizontal="right"/>
    </x:xf>
    <x:xf numFmtId="200" fontId="1" fillId="2" borderId="0" xfId="0" applyNumberFormat="1" applyFont="1" applyFill="1" applyBorder="1" applyAlignment="1">
      <x:alignment horizontal="right"/>
    </x:xf>
    <x:xf numFmtId="200" fontId="5" fillId="2" borderId="0" xfId="0" applyNumberFormat="1" applyFont="1" applyFill="1" applyBorder="1" applyAlignment="1">
      <x:alignment horizontal="right"/>
    </x:xf>
    <x:xf numFmtId="200" fontId="7" fillId="3" borderId="0" xfId="0" applyNumberFormat="1" applyFont="1" applyFill="1" applyBorder="1" applyAlignment="1">
      <x:alignment horizontal="right"/>
    </x:xf>
    <x:xf numFmtId="202" fontId="6" fillId="3" borderId="0" xfId="0" applyNumberFormat="1" applyFont="1" applyFill="1" applyBorder="1" applyAlignment="1">
      <x:alignment horizontal="right"/>
    </x:xf>
    <x:xf numFmtId="202" fontId="5" fillId="2" borderId="0" xfId="0" applyNumberFormat="1" applyFont="1" applyFill="1" applyBorder="1" applyAlignment="1">
      <x:alignment horizontal="right"/>
    </x:xf>
    <x:xf numFmtId="203" fontId="1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201" fontId="1" fillId="3" borderId="0" xfId="0" applyNumberFormat="1" applyFont="1" applyFill="1" applyBorder="1" applyAlignment="1">
      <x:alignment horizontal="right"/>
    </x:xf>
    <x:xf numFmtId="201" fontId="6" fillId="3" borderId="0" xfId="0" applyNumberFormat="1" applyFont="1" applyFill="1" applyBorder="1" applyAlignment="1">
      <x:alignment horizontal="right"/>
    </x:xf>
    <x:xf numFmtId="200" fontId="4" fillId="0" borderId="0" xfId="0" applyNumberFormat="1" applyFont="1" applyFill="1" applyBorder="1" applyAlignment="1">
      <x:alignment horizontal="right"/>
    </x:xf>
    <x:xf numFmtId="203" fontId="4" fillId="0" borderId="0" xfId="0" applyNumberFormat="1" applyFont="1" applyFill="1" applyBorder="1" applyAlignment="1">
      <x:alignment horizontal="right"/>
    </x:xf>
    <x:xf numFmtId="201" fontId="4" fillId="0" borderId="0" xfId="0" applyNumberFormat="1" applyFont="1" applyFill="1" applyBorder="1" applyAlignment="1">
      <x:alignment horizontal="right"/>
    </x:xf>
    <x:xf numFmtId="201" fontId="4" fillId="3" borderId="0" xfId="0" applyNumberFormat="1" applyFont="1" applyFill="1" applyBorder="1" applyAlignment="1">
      <x:alignment horizontal="right"/>
    </x:xf>
    <x:xf numFmtId="202" fontId="4" fillId="0" borderId="0" xfId="0" applyNumberFormat="1" applyFont="1" applyFill="1" applyBorder="1" applyAlignment="1">
      <x:alignment horizontal="right"/>
    </x:xf>
    <x:xf numFmtId="0" fontId="1" fillId="0" borderId="2" xfId="0" applyNumberFormat="1" applyFont="1" applyFill="1" applyBorder="1"/>
    <x:xf numFmtId="200" fontId="1" fillId="0" borderId="2" xfId="0" applyNumberFormat="1" applyFont="1" applyFill="1" applyBorder="1"/>
    <x:xf numFmtId="200" fontId="1" fillId="0" borderId="2" xfId="0" applyNumberFormat="1" applyFont="1" applyFill="1" applyBorder="1" applyAlignment="1">
      <x:alignment horizontal="right"/>
    </x:xf>
    <x:xf numFmtId="0" fontId="7" fillId="0" borderId="2" xfId="0" applyNumberFormat="1" applyFont="1" applyFill="1" applyBorder="1"/>
    <x:xf numFmtId="200" fontId="7" fillId="0" borderId="2" xfId="0" applyNumberFormat="1" applyFont="1" applyFill="1" applyBorder="1"/>
    <x:xf numFmtId="200" fontId="7" fillId="0" borderId="2" xfId="0" applyNumberFormat="1" applyFont="1" applyFill="1" applyBorder="1" applyAlignment="1">
      <x:alignment horizontal="right"/>
    </x:xf>
    <x:xf numFmtId="200" fontId="4" fillId="0" borderId="2" xfId="0" applyNumberFormat="1" applyFont="1" applyFill="1" applyBorder="1" applyAlignment="1">
      <x:alignment horizontal="right"/>
    </x:xf>
    <x:xf numFmtId="200" fontId="8" fillId="0" borderId="2" xfId="0" applyNumberFormat="1" applyFont="1" applyFill="1" applyBorder="1" applyAlignment="1">
      <x:alignment horizontal="right"/>
    </x:xf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200" fontId="4" fillId="0" borderId="0" xfId="0" applyNumberFormat="1" applyFont="1" applyFill="1" applyBorder="1"/>
    <x:xf numFmtId="204" fontId="4" fillId="0" borderId="0" xfId="0" applyNumberFormat="1" applyFont="1" applyFill="1" applyBorder="1"/>
    <x:xf numFmtId="204" fontId="1" fillId="0" borderId="0" xfId="0" applyNumberFormat="1" applyFont="1" applyFill="1" applyBorder="1" applyAlignment="1">
      <x:alignment horizontal="right"/>
    </x:xf>
    <x:xf numFmtId="204" fontId="1" fillId="0" borderId="0" xfId="0" applyNumberFormat="1" applyFont="1" applyFill="1" applyBorder="1"/>
    <x:xf numFmtId="204" fontId="4" fillId="0" borderId="0" xfId="0" applyNumberFormat="1" applyFont="1" applyFill="1" applyBorder="1" applyAlignment="1">
      <x:alignment horizontal="right"/>
    </x:xf>
    <x:xf numFmtId="200" fontId="5" fillId="2" borderId="0" xfId="0" applyNumberFormat="1" applyFont="1" applyFill="1" applyBorder="1" applyAlignment="1">
      <x:alignment horizontal="right" wrapText="1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horizontal="right" wrapText="1"/>
    </x:xf>
    <x:xf numFmtId="0" fontId="5" fillId="2" borderId="0" xfId="0" applyNumberFormat="1" applyFont="1" applyFill="1" applyBorder="1" applyAlignment="1">
      <x:alignment wrapText="1"/>
    </x:xf>
    <x:xf numFmtId="200" fontId="5" fillId="2" borderId="0" xfId="0" applyNumberFormat="1" applyFont="1" applyFill="1" applyBorder="1" applyAlignment="1">
      <x:alignment wrapText="1"/>
    </x:xf>
    <x:xf numFmtId="200" fontId="4" fillId="2" borderId="0" xfId="0" applyNumberFormat="1" applyFont="1" applyFill="1" applyBorder="1" applyAlignment="1">
      <x:alignment horizontal="right"/>
    </x:xf>
    <x:xf numFmtId="200" fontId="7" fillId="2" borderId="2" xfId="0" applyNumberFormat="1" applyFont="1" applyFill="1" applyBorder="1" applyAlignment="1">
      <x:alignment horizontal="right"/>
    </x:xf>
    <x:xf numFmtId="200" fontId="9" fillId="2" borderId="2" xfId="0" applyNumberFormat="1" applyFont="1" applyFill="1" applyBorder="1" applyAlignment="1">
      <x:alignment horizontal="right"/>
    </x:xf>
  </x:cellXfs>
  <x:cellStyles count="1">
    <x:cellStyle name="Normal" xfId="0"/>
  </x:cellStyles>
  <x:dxfs count="2">
    <x:dxf>
      <x:font>
        <x:b/>
        <x:color rgb="FF9C1717"/>
      </x:font>
      <x:fill>
        <x:patternFill patternType="solid">
          <x:bgColor rgb="FFFFE2DE"/>
        </x:patternFill>
      </x:fill>
    </x:dxf>
    <x:dxf>
      <x:font>
        <x:b/>
        <x:color rgb="FF9C1717"/>
      </x:font>
      <x:fill>
        <x:patternFill patternType="solid">
          <x:bgColor rgb="FFFFE2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afc6726fc4bb4" /><Relationship Type="http://schemas.openxmlformats.org/officeDocument/2006/relationships/theme" Target="/xl/theme/theme1.xml" Id="R1f7b8ace1ea441fc" /><Relationship Type="http://schemas.openxmlformats.org/officeDocument/2006/relationships/sharedStrings" Target="/xl/sharedStrings.xml" Id="R1b38b365a74b46f1" /><Relationship Type="http://schemas.openxmlformats.org/officeDocument/2006/relationships/worksheet" Target="/xl/worksheets/sheet1.xml" Id="Rebc1b70b9d4642dc" /><Relationship Type="http://schemas.openxmlformats.org/officeDocument/2006/relationships/worksheet" Target="/xl/worksheets/sheet2.xml" Id="Rd389dc66f8ea4426" /><Relationship Type="http://schemas.openxmlformats.org/officeDocument/2006/relationships/worksheet" Target="/xl/worksheets/sheet3.xml" Id="Rb6ba4f6c9d16416e" /><Relationship Type="http://schemas.openxmlformats.org/officeDocument/2006/relationships/worksheet" Target="/xl/worksheets/sheet4.xml" Id="R70892ffe8a924105" /><Relationship Type="http://schemas.openxmlformats.org/officeDocument/2006/relationships/worksheet" Target="/xl/worksheets/sheet5.xml" Id="R337bd8ab83564db2" /><Relationship Type="http://schemas.openxmlformats.org/officeDocument/2006/relationships/worksheet" Target="/xl/worksheets/sheet6.xml" Id="R288ebc8eea7a4fd3" /><Relationship Type="http://schemas.openxmlformats.org/officeDocument/2006/relationships/worksheet" Target="/xl/worksheets/sheet7.xml" Id="R95637f52198245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B35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</x:row>
    <x:row r="2" ht="23" customHeight="1">
      <x:c r="A2" s="1"/>
      <x:c r="B2" s="1"/>
      <x:c r="C2" s="6" t="str">
        <x:v>Cedar Service launch decision</x:v>
      </x:c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</x:row>
    <x:row r="3" ht="23" customHeight="1">
      <x:c r="A3" s="1"/>
      <x:c r="B3" s="1"/>
      <x:c r="C3" s="1" t="str">
        <x:v>Case selected</x:v>
      </x:c>
      <x:c r="D3" s="8" t="str">
        <x:f>IF(AND(COUNT('Assumptions'!D6)=1,'Assumptions'!D6=INT('Assumptions'!D6),'Assumptions'!D6&gt;=1,'Assumptions'!D6&lt;=3),CHOOSE('Assumptions'!D6,"Base","Downside","Upside"),"Invalid case")</x:f>
        <x:v>Base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</x:row>
    <x:row r="5" ht="23" customHeight="1">
      <x:c r="A5" s="1"/>
      <x:c r="B5" s="1"/>
      <x:c r="C5" s="1" t="str">
        <x:v>Can the launch retain the selected minimum cash balance?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</x:row>
    <x:row r="6" ht="23" customHeight="1">
      <x:c r="A6" s="1"/>
      <x:c r="B6" s="1"/>
      <x:c r="C6" s="1" t="str">
        <x:v>Horizon in months</x:v>
      </x:c>
      <x:c r="D6" s="11" t="n">
        <x:f>'Assumptions'!D7</x:f>
        <x:v>12</x:v>
      </x:c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  <x:c r="AA6" s="4"/>
      <x:c r="AB6" s="4"/>
    </x:row>
    <x:row r="7" ht="23" customHeight="1">
      <x:c r="A7" s="1"/>
      <x:c r="B7" s="1"/>
      <x:c r="C7" s="1"/>
      <x:c r="D7" s="3"/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  <x:c r="AA7" s="4"/>
      <x:c r="AB7" s="4"/>
    </x:row>
    <x:row r="8" ht="23" customHeight="1">
      <x:c r="A8" s="1"/>
      <x:c r="B8" s="1"/>
      <x:c r="C8" s="1" t="str">
        <x:v>Revenue, USD</x:v>
      </x:c>
      <x:c r="D8" s="3" t="str">
        <x:f>IF(AND('Assumptions'!D17="Yes",COUNT('Operations'!E15:AB15)='Assumptions'!D7),SUM('Operations'!E15:AB15),"Unavailable")</x:f>
        <x:v>Unavailable</x:v>
      </x:c>
      <x:c r="E8" s="4"/>
      <x:c r="F8" s="4" t="str">
        <x:v>Complete four yellow formula cells first:</x:v>
      </x:c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  <x:c r="AA8" s="4"/>
      <x:c r="AB8" s="4"/>
    </x:row>
    <x:row r="9" ht="23" customHeight="1">
      <x:c r="A9" s="1"/>
      <x:c r="B9" s="1"/>
      <x:c r="C9" s="1" t="str">
        <x:v>Operating contribution, USD</x:v>
      </x:c>
      <x:c r="D9" s="3" t="str">
        <x:f>IF(AND('Assumptions'!D17="Yes",COUNT('Operations'!E19:AB19)='Assumptions'!D7),SUM('Operations'!E19:AB19),"Unavailable")</x:f>
        <x:v>Unavailable</x:v>
      </x:c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  <x:c r="AA9" s="4"/>
      <x:c r="AB9" s="4"/>
    </x:row>
    <x:row r="10" ht="23" customHeight="1">
      <x:c r="A10" s="1"/>
      <x:c r="B10" s="1"/>
      <x:c r="C10" s="1" t="str">
        <x:v>Operating cash flow, USD</x:v>
      </x:c>
      <x:c r="D10" s="3" t="str">
        <x:f>IF(AND('Assumptions'!D17="Yes",COUNT('Collections'!E15:AB15)='Assumptions'!D7),SUM('Collections'!E15:AB15),"Unavailable")</x:f>
        <x:v>Unavailable</x:v>
      </x:c>
      <x:c r="E10" s="4"/>
      <x:c r="F10" s="4" t="str">
        <x:v>Operations E13: sold services</x:v>
      </x:c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  <x:c r="AA10" s="4"/>
      <x:c r="AB10" s="4"/>
    </x:row>
    <x:row r="11" ht="23" customHeight="1">
      <x:c r="A11" s="1"/>
      <x:c r="B11" s="1"/>
      <x:c r="C11" s="1" t="str">
        <x:v>Interest, USD</x:v>
      </x:c>
      <x:c r="D11" s="3" t="str">
        <x:f>IF(AND('Assumptions'!D17="Yes",COUNT('Funding'!E13:AB13)='Assumptions'!D7),SUM('Funding'!E13:AB13),"Unavailable")</x:f>
        <x:v>Unavailable</x:v>
      </x:c>
      <x:c r="E11" s="4"/>
      <x:c r="F11" s="4" t="str">
        <x:v>Collections E13: current cash receipts</x:v>
      </x:c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  <x:c r="AA11" s="4"/>
      <x:c r="AB11" s="4"/>
    </x:row>
    <x:row r="12" ht="23" customHeight="1">
      <x:c r="A12" s="1"/>
      <x:c r="B12" s="1"/>
      <x:c r="C12" s="1" t="str">
        <x:v>Ending cash before extra funding</x:v>
      </x:c>
      <x:c r="D12" s="3" t="str">
        <x:f>IF(AND('Assumptions'!D17="Yes",COUNT('Funding'!E25:AB25)='Assumptions'!D7),INDEX('Funding'!E25:AB25,1,'Assumptions'!D7),"Unavailable")</x:f>
        <x:v>Unavailable</x:v>
      </x:c>
      <x:c r="E12" s="4"/>
      <x:c r="F12" s="4" t="str">
        <x:v>Funding E13: interest; E25: closing cash</x:v>
      </x:c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  <x:c r="AA12" s="4"/>
      <x:c r="AB12" s="4"/>
    </x:row>
    <x:row r="13" ht="23" customHeight="1">
      <x:c r="A13" s="1"/>
      <x:c r="B13" s="1"/>
      <x:c r="C13" s="1" t="str">
        <x:v>Lowest month-end/opening cash</x:v>
      </x:c>
      <x:c r="D13" s="3" t="str">
        <x:f>IF(AND('Assumptions'!D17="Yes",COUNT('Funding'!E26:AB26)='Assumptions'!D7),INDEX('Funding'!E26:AB26,1,'Assumptions'!D7),"Unavailable")</x:f>
        <x:v>Unavailable</x:v>
      </x:c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  <x:c r="W13" s="4"/>
      <x:c r="X13" s="4"/>
      <x:c r="Y13" s="4"/>
      <x:c r="Z13" s="4"/>
      <x:c r="AA13" s="4"/>
      <x:c r="AB13" s="4"/>
    </x:row>
    <x:row r="14" ht="23" customHeight="1">
      <x:c r="A14" s="1"/>
      <x:c r="B14" s="1"/>
      <x:c r="C14" s="48" t="str">
        <x:v>Additional opening funding, USD</x:v>
      </x:c>
      <x:c r="D14" s="49" t="str">
        <x:f>IF(ISNUMBER(D13),MAX(0,'Assumptions'!D13-D13),"Unavailable")</x:f>
        <x:v>Unavailable</x:v>
      </x:c>
      <x:c r="E14" s="4"/>
      <x:c r="F14" s="4" t="str">
        <x:v>Then inspect Review before explaining the decision.</x:v>
      </x:c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  <x:c r="AA14" s="4"/>
      <x:c r="AB14" s="4"/>
    </x:row>
    <x:row r="15" ht="23" customHeight="1">
      <x:c r="A15" s="1"/>
      <x:c r="B15" s="1"/>
      <x:c r="C15" s="1" t="str">
        <x:v>Closing debt, USD</x:v>
      </x:c>
      <x:c r="D15" s="3" t="n">
        <x:f>IF(AND('Assumptions'!D17="Yes",COUNT('Funding'!E14:AB14)='Assumptions'!D7),INDEX('Funding'!E14:AB14,1,'Assumptions'!D7),"Unavailable")</x:f>
        <x:v>0</x:v>
      </x:c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  <x:c r="AA15" s="4"/>
      <x:c r="AB15" s="4"/>
    </x:row>
    <x:row r="16" ht="23" customHeight="1">
      <x:c r="A16" s="1"/>
      <x:c r="B16" s="1"/>
      <x:c r="C16" s="1" t="str">
        <x:v>Closing receivables, USD</x:v>
      </x:c>
      <x:c r="D16" s="3" t="str">
        <x:f>IF(AND('Assumptions'!D17="Yes",COUNT('Collections'!E14:AB14)='Assumptions'!D7),INDEX('Collections'!E14:AB14,1,'Assumptions'!D7),"Unavailable")</x:f>
        <x:v>Unavailable</x:v>
      </x:c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  <x:c r="AA16" s="4"/>
      <x:c r="AB16" s="4"/>
    </x:row>
    <x:row r="17" ht="23" customHeight="1">
      <x:c r="A17" s="1"/>
      <x:c r="B17" s="1"/>
      <x:c r="C17" s="1"/>
      <x:c r="D17" s="3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  <x:c r="AA17" s="4"/>
      <x:c r="AB17" s="4"/>
    </x:row>
    <x:row r="18" ht="23" customHeight="1">
      <x:c r="A18" s="1"/>
      <x:c r="B18" s="1"/>
      <x:c r="C18" s="1"/>
      <x:c r="D18" s="3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  <x:c r="AA18" s="4"/>
      <x:c r="AB18" s="4"/>
    </x:row>
    <x:row r="19" ht="23" customHeight="1">
      <x:c r="A19" s="1"/>
      <x:c r="B19" s="1"/>
      <x:c r="C19" s="1" t="str">
        <x:v>Scope: monthly incremental service line, USD. Costs and repayments positive.</x:v>
      </x:c>
      <x:c r="D19" s="3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  <x:c r="AA19" s="4"/>
      <x:c r="AB19" s="4"/>
    </x:row>
    <x:row r="20" ht="23" customHeight="1">
      <x:c r="A20" s="1"/>
      <x:c r="B20" s="1"/>
      <x:c r="C20" s="1"/>
      <x:c r="D20" s="3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  <x:c r="AA20" s="4"/>
      <x:c r="AB20" s="4"/>
    </x:row>
    <x:row r="21" ht="23" customHeight="1">
      <x:c r="A21" s="1"/>
      <x:c r="B21" s="1"/>
      <x:c r="C21" s="1" t="str">
        <x:v>No taxes, inventory, payables, terminal proceeds or automatic extra financing.</x:v>
      </x:c>
      <x:c r="D21" s="3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  <x:c r="AA21" s="4"/>
      <x:c r="AB21" s="4"/>
    </x:row>
    <x:row r="22" ht="23" customHeight="1">
      <x:c r="A22" s="1"/>
      <x:c r="B22" s="1"/>
      <x:c r="C22" s="1"/>
      <x:c r="D22" s="3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  <x:c r="AA22" s="4"/>
      <x:c r="AB22" s="4"/>
    </x:row>
    <x:row r="23" ht="23" customHeight="1">
      <x:c r="A23" s="1"/>
      <x:c r="B23" s="1"/>
      <x:c r="C23" s="1" t="str">
        <x:v>The horizon retains unpaid debt and uncollected invoices. It is not liquidation.</x:v>
      </x:c>
      <x:c r="D23" s="3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  <x:c r="AA23" s="4"/>
      <x:c r="AB23" s="4"/>
    </x:row>
    <x:row r="24" ht="23" customHeight="1">
      <x:c r="A24" s="1"/>
      <x:c r="B24" s="1"/>
      <x:c r="C24" s="1"/>
      <x:c r="D24" s="3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  <x:c r="AA24" s="4"/>
      <x:c r="AB24" s="4"/>
    </x:row>
    <x:row r="25" ht="23" customHeight="1">
      <x:c r="A25" s="1"/>
      <x:c r="B25" s="1"/>
      <x:c r="C25" s="1" t="str">
        <x:v>No intentional cycles. Iteration off. Interest uses opening debt plus start draw.</x:v>
      </x:c>
      <x:c r="D25" s="3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  <x:c r="AA25" s="4"/>
      <x:c r="AB25" s="4"/>
    </x:row>
    <x:row r="26" ht="23" customHeight="1">
      <x:c r="A26" s="1"/>
      <x:c r="B26" s="1"/>
      <x:c r="C26" s="1"/>
      <x:c r="D26" s="3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  <x:c r="AA26" s="4"/>
      <x:c r="AB26" s="4"/>
    </x:row>
    <x:row r="27" ht="23" customHeight="1">
      <x:c r="A27" s="1"/>
      <x:c r="B27" s="1"/>
      <x:c r="C27" s="1" t="str">
        <x:v>Practice: change horizon 12 → 6 → 18 → 24 → 12; test all cases and restore.</x:v>
      </x:c>
      <x:c r="D27" s="3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  <x:c r="AA27" s="4"/>
      <x:c r="AB27" s="4"/>
    </x:row>
    <x:row r="28" ht="23" customHeight="1">
      <x:c r="A28" s="1"/>
      <x:c r="B28" s="1"/>
      <x:c r="C28" s="1"/>
      <x:c r="D28" s="3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  <x:c r="AA28" s="4"/>
      <x:c r="AB28" s="4"/>
    </x:row>
    <x:row r="29" ht="23" customHeight="1">
      <x:c r="A29" s="1"/>
      <x:c r="B29" s="1"/>
      <x:c r="C29" s="1" t="str">
        <x:v>Version 1.0, 9 Oct 2026. Sources S1/S2 and assumptions A1/A2 are fictional.</x:v>
      </x:c>
      <x:c r="D29" s="3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  <x:c r="AA29" s="4"/>
      <x:c r="AB29" s="4"/>
    </x:row>
    <x:row r="30" ht="23" customHeight="1">
      <x:c r="A30" s="1"/>
      <x:c r="B30" s="1"/>
      <x:c r="C30" s="1"/>
      <x:c r="D30" s="3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  <x:c r="AA30" s="4"/>
      <x:c r="AB30" s="4"/>
    </x:row>
    <x:row r="31" ht="23" customHeight="1">
      <x:c r="A31" s="1"/>
      <x:c r="B31" s="1"/>
      <x:c r="C31" s="1"/>
      <x:c r="D31" s="3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  <x:c r="AA31" s="4"/>
      <x:c r="AB31" s="4"/>
    </x:row>
    <x:row r="32" ht="23" customHeight="1">
      <x:c r="A32" s="1"/>
      <x:c r="B32" s="1"/>
      <x:c r="C32" s="1"/>
      <x:c r="D32" s="3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  <x:c r="AA32" s="4"/>
      <x:c r="AB32" s="4"/>
    </x:row>
    <x:row r="33" ht="23" customHeight="1">
      <x:c r="A33" s="1"/>
      <x:c r="B33" s="1"/>
      <x:c r="C33" s="1"/>
      <x:c r="D33" s="3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  <x:c r="AA33" s="4"/>
      <x:c r="AB33" s="4"/>
    </x:row>
    <x:row r="34" ht="23" customHeight="1">
      <x:c r="A34" s="1"/>
      <x:c r="B34" s="1"/>
      <x:c r="C34" s="1"/>
      <x:c r="D34" s="3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  <x:c r="AA34" s="4"/>
      <x:c r="AB34" s="4"/>
    </x:row>
    <x:row r="35" ht="23" customHeight="1">
      <x:c r="A35" s="1"/>
      <x:c r="B35" s="1"/>
      <x:c r="C35" s="1"/>
      <x:c r="D35" s="3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  <x:c r="AA35" s="4"/>
      <x:c r="AB35" s="4"/>
    </x:row>
    <x:row r="36" ht="23" customHeight="1">
      <x:c r="A36" s="1"/>
      <x:c r="B36" s="1"/>
      <x:c r="C36" s="1"/>
      <x:c r="D36" s="3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  <x:c r="AA36" s="4"/>
      <x:c r="AB36" s="4"/>
    </x:row>
    <x:row r="37" ht="23" customHeight="1">
      <x:c r="A37" s="1"/>
      <x:c r="B37" s="1"/>
      <x:c r="C37" s="1"/>
      <x:c r="D37" s="3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  <x:c r="AA37" s="4"/>
      <x:c r="AB37" s="4"/>
    </x:row>
    <x:row r="38" ht="23" customHeight="1">
      <x:c r="A38" s="1"/>
      <x:c r="B38" s="1"/>
      <x:c r="C38" s="1"/>
      <x:c r="D38" s="3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  <x:c r="AA38" s="4"/>
      <x:c r="AB38" s="4"/>
    </x:row>
    <x:row r="39" ht="23" customHeight="1">
      <x:c r="A39" s="1"/>
      <x:c r="B39" s="1"/>
      <x:c r="C39" s="1"/>
      <x:c r="D39" s="3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  <x:c r="AA39" s="4"/>
      <x:c r="AB39" s="4"/>
    </x:row>
    <x:row r="40" ht="23" customHeight="1">
      <x:c r="A40" s="1"/>
      <x:c r="B40" s="1"/>
      <x:c r="C40" s="1"/>
      <x:c r="D40" s="3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  <x:c r="AA40" s="4"/>
      <x:c r="AB40" s="4"/>
    </x:row>
    <x:row r="41" ht="23" customHeight="1">
      <x:c r="A41" s="1"/>
      <x:c r="B41" s="1"/>
      <x:c r="C41" s="1"/>
      <x:c r="D41" s="3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  <x:c r="AA41" s="4"/>
      <x:c r="AB41" s="4"/>
    </x:row>
    <x:row r="42" ht="23" customHeight="1">
      <x:c r="A42" s="1"/>
      <x:c r="B42" s="1"/>
      <x:c r="C42" s="1"/>
      <x:c r="D42" s="3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  <x:c r="AA42" s="4"/>
      <x:c r="AB42" s="4"/>
    </x:row>
    <x:row r="43" ht="23" customHeight="1">
      <x:c r="A43" s="1"/>
      <x:c r="B43" s="1"/>
      <x:c r="C43" s="1"/>
      <x:c r="D43" s="3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  <x:c r="AA43" s="4"/>
      <x:c r="AB43" s="4"/>
    </x:row>
    <x:row r="44" ht="23" customHeight="1">
      <x:c r="A44" s="1"/>
      <x:c r="B44" s="1"/>
      <x:c r="C44" s="1"/>
      <x:c r="D44" s="3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  <x:c r="AA44" s="4"/>
      <x:c r="AB44" s="4"/>
    </x:row>
    <x:row r="45" ht="23" customHeight="1">
      <x:c r="A45" s="1"/>
      <x:c r="B45" s="1"/>
      <x:c r="C45" s="1"/>
      <x:c r="D45" s="3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  <x:c r="AA45" s="4"/>
      <x:c r="AB45" s="4"/>
    </x:row>
    <x:row r="46" ht="23" customHeight="1">
      <x:c r="A46" s="1"/>
      <x:c r="B46" s="1"/>
      <x:c r="C46" s="1"/>
      <x:c r="D46" s="3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  <x:c r="AA46" s="4"/>
      <x:c r="AB46" s="4"/>
    </x:row>
    <x:row r="47" ht="23" customHeight="1">
      <x:c r="A47" s="1"/>
      <x:c r="B47" s="1"/>
      <x:c r="C47" s="1"/>
      <x:c r="D47" s="3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  <x:c r="AA47" s="4"/>
      <x:c r="AB47" s="4"/>
    </x:row>
    <x:row r="48" ht="23" customHeight="1">
      <x:c r="A48" s="1"/>
      <x:c r="B48" s="1"/>
      <x:c r="C48" s="1"/>
      <x:c r="D48" s="3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  <x:c r="AA48" s="4"/>
      <x:c r="AB48" s="4"/>
    </x:row>
    <x:row r="49" ht="23" customHeight="1">
      <x:c r="A49" s="1"/>
      <x:c r="B49" s="1"/>
      <x:c r="C49" s="1"/>
      <x:c r="D49" s="3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</x:row>
    <x:row r="50" ht="23" customHeight="1">
      <x:c r="A50" s="1"/>
      <x:c r="B50" s="1"/>
      <x:c r="C50" s="1"/>
      <x:c r="D50" s="3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B9989"/>
  </x:sheetPr>
  <x:sheetViews>
    <x:sheetView showGridLines="0" workbookViewId="0">
      <x:pane xSplit="4" ySplit="19" topLeftCell="E2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</x:row>
    <x:row r="2" ht="23" customHeight="1">
      <x:c r="A2" s="1"/>
      <x:c r="B2" s="1"/>
      <x:c r="C2" s="6" t="str">
        <x:v>Assumptions</x:v>
      </x:c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</x:row>
    <x:row r="3" ht="23" customHeight="1">
      <x:c r="A3" s="1"/>
      <x:c r="B3" s="1"/>
      <x:c r="C3" s="1" t="str">
        <x:v>Case selected</x:v>
      </x:c>
      <x:c r="D3" s="8" t="str">
        <x:f>IF(AND(COUNT('Assumptions'!D6)=1,'Assumptions'!D6=INT('Assumptions'!D6),'Assumptions'!D6&gt;=1,'Assumptions'!D6&lt;=3),CHOOSE('Assumptions'!D6,"Base","Downside","Upside"),"Invalid case")</x:f>
        <x:v>Base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</x:row>
    <x:row r="6" ht="23" customHeight="1">
      <x:c r="A6" s="1"/>
      <x:c r="B6" s="1"/>
      <x:c r="C6" s="1" t="str">
        <x:v>Case: 1 Base, 2 Downside, 3 Upside</x:v>
      </x:c>
      <x:c r="D6" s="16" t="n">
        <x:v>1</x:v>
      </x:c>
      <x:c r="E6" s="4"/>
      <x:c r="F6" s="4" t="str">
        <x:v>Edit yellow inputs. One selector supplies every active driver.</x:v>
      </x:c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  <x:c r="AA6" s="4"/>
      <x:c r="AB6" s="4"/>
    </x:row>
    <x:row r="7" ht="23" customHeight="1">
      <x:c r="A7" s="1"/>
      <x:c r="B7" s="1"/>
      <x:c r="C7" s="1" t="str">
        <x:v>Horizon in whole months</x:v>
      </x:c>
      <x:c r="D7" s="16" t="n">
        <x:v>12</x:v>
      </x:c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  <x:c r="AA7" s="4"/>
      <x:c r="AB7" s="4"/>
    </x:row>
    <x:row r="8" ht="23" customHeight="1">
      <x:c r="A8" s="1"/>
      <x:c r="B8" s="1"/>
      <x:c r="C8" s="1" t="str">
        <x:v>Launch: 1 yes, 0 no</x:v>
      </x:c>
      <x:c r="D8" s="16" t="n">
        <x:v>1</x:v>
      </x:c>
      <x:c r="E8" s="4"/>
      <x:c r="F8" s="4" t="str">
        <x:v>The horizon changes reporting; it does not liquidate balances.</x:v>
      </x:c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  <x:c r="AA8" s="4"/>
      <x:c r="AB8" s="4"/>
    </x:row>
    <x:row r="9" ht="23" customHeight="1">
      <x:c r="A9" s="1"/>
      <x:c r="B9" s="1"/>
      <x:c r="C9" s="1" t="str">
        <x:v>First forecast month</x:v>
      </x:c>
      <x:c r="D9" s="17" t="n">
        <x:v>46388</x:v>
      </x:c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  <x:c r="AA9" s="4"/>
      <x:c r="AB9" s="4"/>
    </x:row>
    <x:row r="10" ht="23" customHeight="1">
      <x:c r="A10" s="1"/>
      <x:c r="B10" s="1"/>
      <x:c r="C10" s="1" t="str">
        <x:v>Proposed loan, USD</x:v>
      </x:c>
      <x:c r="D10" s="18" t="n">
        <x:v>12000</x:v>
      </x:c>
      <x:c r="E10" s="4"/>
      <x:c r="F10" s="4" t="str">
        <x:v>Collection policy: all opening AR plus the current-month share.</x:v>
      </x:c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  <x:c r="AA10" s="4"/>
      <x:c r="AB10" s="4"/>
    </x:row>
    <x:row r="11" ht="23" customHeight="1">
      <x:c r="A11" s="1"/>
      <x:c r="B11" s="1"/>
      <x:c r="C11" s="1" t="str">
        <x:v>Monthly principal payment, USD</x:v>
      </x:c>
      <x:c r="D11" s="18" t="n">
        <x:v>1000</x:v>
      </x:c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  <x:c r="AA11" s="4"/>
      <x:c r="AB11" s="4"/>
    </x:row>
    <x:row r="12" ht="23" customHeight="1">
      <x:c r="A12" s="1"/>
      <x:c r="B12" s="1"/>
      <x:c r="C12" s="1" t="str">
        <x:v>Annual interest rate</x:v>
      </x:c>
      <x:c r="D12" s="19" t="n">
        <x:v>0.12</x:v>
      </x:c>
      <x:c r="E12" s="4"/>
      <x:c r="F12" s="4" t="str">
        <x:v>Interest uses opening debt plus the beginning-of-month draw.</x:v>
      </x:c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  <x:c r="AA12" s="4"/>
      <x:c r="AB12" s="4"/>
    </x:row>
    <x:row r="13" ht="23" customHeight="1">
      <x:c r="A13" s="1"/>
      <x:c r="B13" s="1"/>
      <x:c r="C13" s="1" t="str">
        <x:v>Minimum month-end cash, USD</x:v>
      </x:c>
      <x:c r="D13" s="18" t="n">
        <x:v>5000</x:v>
      </x:c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  <x:c r="W13" s="4"/>
      <x:c r="X13" s="4"/>
      <x:c r="Y13" s="4"/>
      <x:c r="Z13" s="4"/>
      <x:c r="AA13" s="4"/>
      <x:c r="AB13" s="4"/>
    </x:row>
    <x:row r="14" ht="23" customHeight="1">
      <x:c r="A14" s="1"/>
      <x:c r="B14" s="1"/>
      <x:c r="C14" s="1" t="str">
        <x:v>Months per year convention</x:v>
      </x:c>
      <x:c r="D14" s="3" t="n">
        <x:v>12</x:v>
      </x:c>
      <x:c r="E14" s="4"/>
      <x:c r="F14" s="4" t="str">
        <x:v>USD; costs and repayments positive. No taxes or automatic funding.</x:v>
      </x:c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  <x:c r="AA14" s="4"/>
      <x:c r="AB14" s="4"/>
    </x:row>
    <x:row r="15" ht="23" customHeight="1">
      <x:c r="A15" s="1"/>
      <x:c r="B15" s="1"/>
      <x:c r="C15" s="1" t="str">
        <x:v>Maximum supported months</x:v>
      </x:c>
      <x:c r="D15" s="3" t="n">
        <x:v>24</x:v>
      </x:c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  <x:c r="AA15" s="4"/>
      <x:c r="AB15" s="4"/>
    </x:row>
    <x:row r="16" ht="23" customHeight="1">
      <x:c r="A16" s="1"/>
      <x:c r="B16" s="1"/>
      <x:c r="C16" s="1"/>
      <x:c r="D16" s="3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  <x:c r="AA16" s="4"/>
      <x:c r="AB16" s="4"/>
    </x:row>
    <x:row r="17" ht="23" customHeight="1">
      <x:c r="A17" s="1"/>
      <x:c r="B17" s="1"/>
      <x:c r="C17" s="1" t="str">
        <x:v>Controls valid</x:v>
      </x:c>
      <x:c r="D17" s="3" t="str">
        <x:f>IF(AND(COUNT(D6:D15)=10,D6=INT(D6),D6&gt;=1,D6&lt;=3,D7=INT(D7),D7&gt;=1,D7&lt;=D15,OR(D8=0,D8=1),DAY(D9)=1,D10&gt;=0,D11&gt;=0,D12&gt;=0,D13&gt;=0,D14=12,D15=24),"Yes","Invalid controls")</x:f>
        <x:v>Yes</x:v>
      </x:c>
      <x:c r="E17" s="31" t="n">
        <x:f>1</x:f>
        <x:v>1</x:v>
      </x:c>
      <x:c r="F17" s="31" t="n">
        <x:f>E17+1</x:f>
        <x:v>2</x:v>
      </x:c>
      <x:c r="G17" s="31" t="n">
        <x:f>F17+1</x:f>
        <x:v>3</x:v>
      </x:c>
      <x:c r="H17" s="31" t="n">
        <x:f>G17+1</x:f>
        <x:v>4</x:v>
      </x:c>
      <x:c r="I17" s="31" t="n">
        <x:f>H17+1</x:f>
        <x:v>5</x:v>
      </x:c>
      <x:c r="J17" s="31" t="n">
        <x:f>I17+1</x:f>
        <x:v>6</x:v>
      </x:c>
      <x:c r="K17" s="31" t="n">
        <x:f>J17+1</x:f>
        <x:v>7</x:v>
      </x:c>
      <x:c r="L17" s="31" t="n">
        <x:f>K17+1</x:f>
        <x:v>8</x:v>
      </x:c>
      <x:c r="M17" s="31" t="n">
        <x:f>L17+1</x:f>
        <x:v>9</x:v>
      </x:c>
      <x:c r="N17" s="31" t="n">
        <x:f>M17+1</x:f>
        <x:v>10</x:v>
      </x:c>
      <x:c r="O17" s="31" t="n">
        <x:f>N17+1</x:f>
        <x:v>11</x:v>
      </x:c>
      <x:c r="P17" s="31" t="n">
        <x:f>O17+1</x:f>
        <x:v>12</x:v>
      </x:c>
      <x:c r="Q17" s="31" t="n">
        <x:f>P17+1</x:f>
        <x:v>13</x:v>
      </x:c>
      <x:c r="R17" s="31" t="n">
        <x:f>Q17+1</x:f>
        <x:v>14</x:v>
      </x:c>
      <x:c r="S17" s="31" t="n">
        <x:f>R17+1</x:f>
        <x:v>15</x:v>
      </x:c>
      <x:c r="T17" s="31" t="n">
        <x:f>S17+1</x:f>
        <x:v>16</x:v>
      </x:c>
      <x:c r="U17" s="31" t="n">
        <x:f>T17+1</x:f>
        <x:v>17</x:v>
      </x:c>
      <x:c r="V17" s="31" t="n">
        <x:f>U17+1</x:f>
        <x:v>18</x:v>
      </x:c>
      <x:c r="W17" s="31" t="n">
        <x:f>V17+1</x:f>
        <x:v>19</x:v>
      </x:c>
      <x:c r="X17" s="31" t="n">
        <x:f>W17+1</x:f>
        <x:v>20</x:v>
      </x:c>
      <x:c r="Y17" s="31" t="n">
        <x:f>X17+1</x:f>
        <x:v>21</x:v>
      </x:c>
      <x:c r="Z17" s="31" t="n">
        <x:f>Y17+1</x:f>
        <x:v>22</x:v>
      </x:c>
      <x:c r="AA17" s="31" t="n">
        <x:f>Z17+1</x:f>
        <x:v>23</x:v>
      </x:c>
      <x:c r="AB17" s="31" t="n">
        <x:f>AA17+1</x:f>
        <x:v>24</x:v>
      </x:c>
    </x:row>
    <x:row r="18" ht="23" customHeight="1">
      <x:c r="A18" s="1"/>
      <x:c r="B18" s="1"/>
      <x:c r="C18" s="23" t="str">
        <x:v>Forecast month</x:v>
      </x:c>
      <x:c r="D18" s="24"/>
      <x:c r="E18" s="34" t="n">
        <x:f>IF($D$17="Yes",EDATE($D$9,E17-1),"Invalid controls")</x:f>
        <x:v>46388</x:v>
      </x:c>
      <x:c r="F18" s="34" t="n">
        <x:f>IF($D$17="Yes",EDATE($D$9,F17-1),"Invalid controls")</x:f>
        <x:v>46419</x:v>
      </x:c>
      <x:c r="G18" s="34" t="n">
        <x:f>IF($D$17="Yes",EDATE($D$9,G17-1),"Invalid controls")</x:f>
        <x:v>46447</x:v>
      </x:c>
      <x:c r="H18" s="34" t="n">
        <x:f>IF($D$17="Yes",EDATE($D$9,H17-1),"Invalid controls")</x:f>
        <x:v>46478</x:v>
      </x:c>
      <x:c r="I18" s="34" t="n">
        <x:f>IF($D$17="Yes",EDATE($D$9,I17-1),"Invalid controls")</x:f>
        <x:v>46508</x:v>
      </x:c>
      <x:c r="J18" s="34" t="n">
        <x:f>IF($D$17="Yes",EDATE($D$9,J17-1),"Invalid controls")</x:f>
        <x:v>46539</x:v>
      </x:c>
      <x:c r="K18" s="34" t="n">
        <x:f>IF($D$17="Yes",EDATE($D$9,K17-1),"Invalid controls")</x:f>
        <x:v>46569</x:v>
      </x:c>
      <x:c r="L18" s="34" t="n">
        <x:f>IF($D$17="Yes",EDATE($D$9,L17-1),"Invalid controls")</x:f>
        <x:v>46600</x:v>
      </x:c>
      <x:c r="M18" s="34" t="n">
        <x:f>IF($D$17="Yes",EDATE($D$9,M17-1),"Invalid controls")</x:f>
        <x:v>46631</x:v>
      </x:c>
      <x:c r="N18" s="34" t="n">
        <x:f>IF($D$17="Yes",EDATE($D$9,N17-1),"Invalid controls")</x:f>
        <x:v>46661</x:v>
      </x:c>
      <x:c r="O18" s="34" t="n">
        <x:f>IF($D$17="Yes",EDATE($D$9,O17-1),"Invalid controls")</x:f>
        <x:v>46692</x:v>
      </x:c>
      <x:c r="P18" s="34" t="n">
        <x:f>IF($D$17="Yes",EDATE($D$9,P17-1),"Invalid controls")</x:f>
        <x:v>46722</x:v>
      </x:c>
      <x:c r="Q18" s="34" t="n">
        <x:f>IF($D$17="Yes",EDATE($D$9,Q17-1),"Invalid controls")</x:f>
        <x:v>46753</x:v>
      </x:c>
      <x:c r="R18" s="34" t="n">
        <x:f>IF($D$17="Yes",EDATE($D$9,R17-1),"Invalid controls")</x:f>
        <x:v>46784</x:v>
      </x:c>
      <x:c r="S18" s="34" t="n">
        <x:f>IF($D$17="Yes",EDATE($D$9,S17-1),"Invalid controls")</x:f>
        <x:v>46813</x:v>
      </x:c>
      <x:c r="T18" s="34" t="n">
        <x:f>IF($D$17="Yes",EDATE($D$9,T17-1),"Invalid controls")</x:f>
        <x:v>46844</x:v>
      </x:c>
      <x:c r="U18" s="34" t="n">
        <x:f>IF($D$17="Yes",EDATE($D$9,U17-1),"Invalid controls")</x:f>
        <x:v>46874</x:v>
      </x:c>
      <x:c r="V18" s="34" t="n">
        <x:f>IF($D$17="Yes",EDATE($D$9,V17-1),"Invalid controls")</x:f>
        <x:v>46905</x:v>
      </x:c>
      <x:c r="W18" s="34" t="n">
        <x:f>IF($D$17="Yes",EDATE($D$9,W17-1),"Invalid controls")</x:f>
        <x:v>46935</x:v>
      </x:c>
      <x:c r="X18" s="34" t="n">
        <x:f>IF($D$17="Yes",EDATE($D$9,X17-1),"Invalid controls")</x:f>
        <x:v>46966</x:v>
      </x:c>
      <x:c r="Y18" s="34" t="n">
        <x:f>IF($D$17="Yes",EDATE($D$9,Y17-1),"Invalid controls")</x:f>
        <x:v>46997</x:v>
      </x:c>
      <x:c r="Z18" s="34" t="n">
        <x:f>IF($D$17="Yes",EDATE($D$9,Z17-1),"Invalid controls")</x:f>
        <x:v>47027</x:v>
      </x:c>
      <x:c r="AA18" s="34" t="n">
        <x:f>IF($D$17="Yes",EDATE($D$9,AA17-1),"Invalid controls")</x:f>
        <x:v>47058</x:v>
      </x:c>
      <x:c r="AB18" s="34" t="n">
        <x:f>IF($D$17="Yes",EDATE($D$9,AB17-1),"Invalid controls")</x:f>
        <x:v>47088</x:v>
      </x:c>
    </x:row>
    <x:row r="19" ht="23" customHeight="1">
      <x:c r="A19" s="1"/>
      <x:c r="B19" s="1"/>
      <x:c r="C19" s="1" t="str">
        <x:v>Active period, 1 / 0</x:v>
      </x:c>
      <x:c r="D19" s="3"/>
      <x:c r="E19" s="31" t="n">
        <x:f>IF($D$17="Yes",IF(E17&lt;=$D$7,1,0),"Invalid controls")</x:f>
        <x:v>1</x:v>
      </x:c>
      <x:c r="F19" s="31" t="n">
        <x:f>IF($D$17="Yes",IF(F17&lt;=$D$7,1,0),"Invalid controls")</x:f>
        <x:v>1</x:v>
      </x:c>
      <x:c r="G19" s="31" t="n">
        <x:f>IF($D$17="Yes",IF(G17&lt;=$D$7,1,0),"Invalid controls")</x:f>
        <x:v>1</x:v>
      </x:c>
      <x:c r="H19" s="31" t="n">
        <x:f>IF($D$17="Yes",IF(H17&lt;=$D$7,1,0),"Invalid controls")</x:f>
        <x:v>1</x:v>
      </x:c>
      <x:c r="I19" s="31" t="n">
        <x:f>IF($D$17="Yes",IF(I17&lt;=$D$7,1,0),"Invalid controls")</x:f>
        <x:v>1</x:v>
      </x:c>
      <x:c r="J19" s="31" t="n">
        <x:f>IF($D$17="Yes",IF(J17&lt;=$D$7,1,0),"Invalid controls")</x:f>
        <x:v>1</x:v>
      </x:c>
      <x:c r="K19" s="31" t="n">
        <x:f>IF($D$17="Yes",IF(K17&lt;=$D$7,1,0),"Invalid controls")</x:f>
        <x:v>1</x:v>
      </x:c>
      <x:c r="L19" s="31" t="n">
        <x:f>IF($D$17="Yes",IF(L17&lt;=$D$7,1,0),"Invalid controls")</x:f>
        <x:v>1</x:v>
      </x:c>
      <x:c r="M19" s="31" t="n">
        <x:f>IF($D$17="Yes",IF(M17&lt;=$D$7,1,0),"Invalid controls")</x:f>
        <x:v>1</x:v>
      </x:c>
      <x:c r="N19" s="31" t="n">
        <x:f>IF($D$17="Yes",IF(N17&lt;=$D$7,1,0),"Invalid controls")</x:f>
        <x:v>1</x:v>
      </x:c>
      <x:c r="O19" s="31" t="n">
        <x:f>IF($D$17="Yes",IF(O17&lt;=$D$7,1,0),"Invalid controls")</x:f>
        <x:v>1</x:v>
      </x:c>
      <x:c r="P19" s="31" t="n">
        <x:f>IF($D$17="Yes",IF(P17&lt;=$D$7,1,0),"Invalid controls")</x:f>
        <x:v>1</x:v>
      </x:c>
      <x:c r="Q19" s="31" t="n">
        <x:f>IF($D$17="Yes",IF(Q17&lt;=$D$7,1,0),"Invalid controls")</x:f>
        <x:v>0</x:v>
      </x:c>
      <x:c r="R19" s="31" t="n">
        <x:f>IF($D$17="Yes",IF(R17&lt;=$D$7,1,0),"Invalid controls")</x:f>
        <x:v>0</x:v>
      </x:c>
      <x:c r="S19" s="31" t="n">
        <x:f>IF($D$17="Yes",IF(S17&lt;=$D$7,1,0),"Invalid controls")</x:f>
        <x:v>0</x:v>
      </x:c>
      <x:c r="T19" s="31" t="n">
        <x:f>IF($D$17="Yes",IF(T17&lt;=$D$7,1,0),"Invalid controls")</x:f>
        <x:v>0</x:v>
      </x:c>
      <x:c r="U19" s="31" t="n">
        <x:f>IF($D$17="Yes",IF(U17&lt;=$D$7,1,0),"Invalid controls")</x:f>
        <x:v>0</x:v>
      </x:c>
      <x:c r="V19" s="31" t="n">
        <x:f>IF($D$17="Yes",IF(V17&lt;=$D$7,1,0),"Invalid controls")</x:f>
        <x:v>0</x:v>
      </x:c>
      <x:c r="W19" s="31" t="n">
        <x:f>IF($D$17="Yes",IF(W17&lt;=$D$7,1,0),"Invalid controls")</x:f>
        <x:v>0</x:v>
      </x:c>
      <x:c r="X19" s="31" t="n">
        <x:f>IF($D$17="Yes",IF(X17&lt;=$D$7,1,0),"Invalid controls")</x:f>
        <x:v>0</x:v>
      </x:c>
      <x:c r="Y19" s="31" t="n">
        <x:f>IF($D$17="Yes",IF(Y17&lt;=$D$7,1,0),"Invalid controls")</x:f>
        <x:v>0</x:v>
      </x:c>
      <x:c r="Z19" s="31" t="n">
        <x:f>IF($D$17="Yes",IF(Z17&lt;=$D$7,1,0),"Invalid controls")</x:f>
        <x:v>0</x:v>
      </x:c>
      <x:c r="AA19" s="31" t="n">
        <x:f>IF($D$17="Yes",IF(AA17&lt;=$D$7,1,0),"Invalid controls")</x:f>
        <x:v>0</x:v>
      </x:c>
      <x:c r="AB19" s="31" t="n">
        <x:f>IF($D$17="Yes",IF(AB17&lt;=$D$7,1,0),"Invalid controls")</x:f>
        <x:v>0</x:v>
      </x:c>
    </x:row>
    <x:row r="20" ht="23" customHeight="1">
      <x:c r="A20" s="1"/>
      <x:c r="B20" s="1"/>
      <x:c r="C20" s="1"/>
      <x:c r="D20" s="3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  <x:c r="AA20" s="4"/>
      <x:c r="AB20" s="4"/>
    </x:row>
    <x:row r="21" ht="23" customHeight="1">
      <x:c r="A21" s="1"/>
      <x:c r="B21" s="1"/>
      <x:c r="C21" s="1"/>
      <x:c r="D21" s="3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  <x:c r="AA21" s="4"/>
      <x:c r="AB21" s="4"/>
    </x:row>
    <x:row r="22" ht="23" customHeight="1">
      <x:c r="A22" s="1"/>
      <x:c r="B22" s="1"/>
      <x:c r="C22" s="23" t="str">
        <x:v>Initial demand, services/month — Active</x:v>
      </x:c>
      <x:c r="D22" s="24"/>
      <x:c r="E22" s="25" t="n">
        <x:f>IF($D$17="Yes",IF(AND(CHOOSE($D$6,COUNT(E23),COUNT(E24),COUNT(E25))=1,CHOOSE($D$6,E23,E24,E25)&gt;=0),CHOOSE($D$6,E23,E24,E25),"Missing / invalid"),"Invalid controls")</x:f>
        <x:v>120</x:v>
      </x:c>
      <x:c r="F22" s="25" t="n">
        <x:f>IF($D$17="Yes",IF(AND(CHOOSE($D$6,COUNT(F23),COUNT(F24),COUNT(F25))=1,CHOOSE($D$6,F23,F24,F25)&gt;=0),CHOOSE($D$6,F23,F24,F25),"Missing / invalid"),"Invalid controls")</x:f>
        <x:v>120</x:v>
      </x:c>
      <x:c r="G22" s="25" t="n">
        <x:f>IF($D$17="Yes",IF(AND(CHOOSE($D$6,COUNT(G23),COUNT(G24),COUNT(G25))=1,CHOOSE($D$6,G23,G24,G25)&gt;=0),CHOOSE($D$6,G23,G24,G25),"Missing / invalid"),"Invalid controls")</x:f>
        <x:v>120</x:v>
      </x:c>
      <x:c r="H22" s="25" t="n">
        <x:f>IF($D$17="Yes",IF(AND(CHOOSE($D$6,COUNT(H23),COUNT(H24),COUNT(H25))=1,CHOOSE($D$6,H23,H24,H25)&gt;=0),CHOOSE($D$6,H23,H24,H25),"Missing / invalid"),"Invalid controls")</x:f>
        <x:v>120</x:v>
      </x:c>
      <x:c r="I22" s="25" t="n">
        <x:f>IF($D$17="Yes",IF(AND(CHOOSE($D$6,COUNT(I23),COUNT(I24),COUNT(I25))=1,CHOOSE($D$6,I23,I24,I25)&gt;=0),CHOOSE($D$6,I23,I24,I25),"Missing / invalid"),"Invalid controls")</x:f>
        <x:v>120</x:v>
      </x:c>
      <x:c r="J22" s="25" t="n">
        <x:f>IF($D$17="Yes",IF(AND(CHOOSE($D$6,COUNT(J23),COUNT(J24),COUNT(J25))=1,CHOOSE($D$6,J23,J24,J25)&gt;=0),CHOOSE($D$6,J23,J24,J25),"Missing / invalid"),"Invalid controls")</x:f>
        <x:v>120</x:v>
      </x:c>
      <x:c r="K22" s="25" t="n">
        <x:f>IF($D$17="Yes",IF(AND(CHOOSE($D$6,COUNT(K23),COUNT(K24),COUNT(K25))=1,CHOOSE($D$6,K23,K24,K25)&gt;=0),CHOOSE($D$6,K23,K24,K25),"Missing / invalid"),"Invalid controls")</x:f>
        <x:v>120</x:v>
      </x:c>
      <x:c r="L22" s="25" t="n">
        <x:f>IF($D$17="Yes",IF(AND(CHOOSE($D$6,COUNT(L23),COUNT(L24),COUNT(L25))=1,CHOOSE($D$6,L23,L24,L25)&gt;=0),CHOOSE($D$6,L23,L24,L25),"Missing / invalid"),"Invalid controls")</x:f>
        <x:v>120</x:v>
      </x:c>
      <x:c r="M22" s="25" t="n">
        <x:f>IF($D$17="Yes",IF(AND(CHOOSE($D$6,COUNT(M23),COUNT(M24),COUNT(M25))=1,CHOOSE($D$6,M23,M24,M25)&gt;=0),CHOOSE($D$6,M23,M24,M25),"Missing / invalid"),"Invalid controls")</x:f>
        <x:v>120</x:v>
      </x:c>
      <x:c r="N22" s="25" t="n">
        <x:f>IF($D$17="Yes",IF(AND(CHOOSE($D$6,COUNT(N23),COUNT(N24),COUNT(N25))=1,CHOOSE($D$6,N23,N24,N25)&gt;=0),CHOOSE($D$6,N23,N24,N25),"Missing / invalid"),"Invalid controls")</x:f>
        <x:v>120</x:v>
      </x:c>
      <x:c r="O22" s="25" t="n">
        <x:f>IF($D$17="Yes",IF(AND(CHOOSE($D$6,COUNT(O23),COUNT(O24),COUNT(O25))=1,CHOOSE($D$6,O23,O24,O25)&gt;=0),CHOOSE($D$6,O23,O24,O25),"Missing / invalid"),"Invalid controls")</x:f>
        <x:v>120</x:v>
      </x:c>
      <x:c r="P22" s="25" t="n">
        <x:f>IF($D$17="Yes",IF(AND(CHOOSE($D$6,COUNT(P23),COUNT(P24),COUNT(P25))=1,CHOOSE($D$6,P23,P24,P25)&gt;=0),CHOOSE($D$6,P23,P24,P25),"Missing / invalid"),"Invalid controls")</x:f>
        <x:v>120</x:v>
      </x:c>
      <x:c r="Q22" s="25" t="n">
        <x:f>IF($D$17="Yes",IF(AND(CHOOSE($D$6,COUNT(Q23),COUNT(Q24),COUNT(Q25))=1,CHOOSE($D$6,Q23,Q24,Q25)&gt;=0),CHOOSE($D$6,Q23,Q24,Q25),"Missing / invalid"),"Invalid controls")</x:f>
        <x:v>120</x:v>
      </x:c>
      <x:c r="R22" s="25" t="n">
        <x:f>IF($D$17="Yes",IF(AND(CHOOSE($D$6,COUNT(R23),COUNT(R24),COUNT(R25))=1,CHOOSE($D$6,R23,R24,R25)&gt;=0),CHOOSE($D$6,R23,R24,R25),"Missing / invalid"),"Invalid controls")</x:f>
        <x:v>120</x:v>
      </x:c>
      <x:c r="S22" s="25" t="n">
        <x:f>IF($D$17="Yes",IF(AND(CHOOSE($D$6,COUNT(S23),COUNT(S24),COUNT(S25))=1,CHOOSE($D$6,S23,S24,S25)&gt;=0),CHOOSE($D$6,S23,S24,S25),"Missing / invalid"),"Invalid controls")</x:f>
        <x:v>120</x:v>
      </x:c>
      <x:c r="T22" s="25" t="n">
        <x:f>IF($D$17="Yes",IF(AND(CHOOSE($D$6,COUNT(T23),COUNT(T24),COUNT(T25))=1,CHOOSE($D$6,T23,T24,T25)&gt;=0),CHOOSE($D$6,T23,T24,T25),"Missing / invalid"),"Invalid controls")</x:f>
        <x:v>120</x:v>
      </x:c>
      <x:c r="U22" s="25" t="n">
        <x:f>IF($D$17="Yes",IF(AND(CHOOSE($D$6,COUNT(U23),COUNT(U24),COUNT(U25))=1,CHOOSE($D$6,U23,U24,U25)&gt;=0),CHOOSE($D$6,U23,U24,U25),"Missing / invalid"),"Invalid controls")</x:f>
        <x:v>120</x:v>
      </x:c>
      <x:c r="V22" s="25" t="n">
        <x:f>IF($D$17="Yes",IF(AND(CHOOSE($D$6,COUNT(V23),COUNT(V24),COUNT(V25))=1,CHOOSE($D$6,V23,V24,V25)&gt;=0),CHOOSE($D$6,V23,V24,V25),"Missing / invalid"),"Invalid controls")</x:f>
        <x:v>120</x:v>
      </x:c>
      <x:c r="W22" s="25" t="n">
        <x:f>IF($D$17="Yes",IF(AND(CHOOSE($D$6,COUNT(W23),COUNT(W24),COUNT(W25))=1,CHOOSE($D$6,W23,W24,W25)&gt;=0),CHOOSE($D$6,W23,W24,W25),"Missing / invalid"),"Invalid controls")</x:f>
        <x:v>120</x:v>
      </x:c>
      <x:c r="X22" s="25" t="n">
        <x:f>IF($D$17="Yes",IF(AND(CHOOSE($D$6,COUNT(X23),COUNT(X24),COUNT(X25))=1,CHOOSE($D$6,X23,X24,X25)&gt;=0),CHOOSE($D$6,X23,X24,X25),"Missing / invalid"),"Invalid controls")</x:f>
        <x:v>120</x:v>
      </x:c>
      <x:c r="Y22" s="25" t="n">
        <x:f>IF($D$17="Yes",IF(AND(CHOOSE($D$6,COUNT(Y23),COUNT(Y24),COUNT(Y25))=1,CHOOSE($D$6,Y23,Y24,Y25)&gt;=0),CHOOSE($D$6,Y23,Y24,Y25),"Missing / invalid"),"Invalid controls")</x:f>
        <x:v>120</x:v>
      </x:c>
      <x:c r="Z22" s="25" t="n">
        <x:f>IF($D$17="Yes",IF(AND(CHOOSE($D$6,COUNT(Z23),COUNT(Z24),COUNT(Z25))=1,CHOOSE($D$6,Z23,Z24,Z25)&gt;=0),CHOOSE($D$6,Z23,Z24,Z25),"Missing / invalid"),"Invalid controls")</x:f>
        <x:v>120</x:v>
      </x:c>
      <x:c r="AA22" s="25" t="n">
        <x:f>IF($D$17="Yes",IF(AND(CHOOSE($D$6,COUNT(AA23),COUNT(AA24),COUNT(AA25))=1,CHOOSE($D$6,AA23,AA24,AA25)&gt;=0),CHOOSE($D$6,AA23,AA24,AA25),"Missing / invalid"),"Invalid controls")</x:f>
        <x:v>120</x:v>
      </x:c>
      <x:c r="AB22" s="25" t="n">
        <x:f>IF($D$17="Yes",IF(AND(CHOOSE($D$6,COUNT(AB23),COUNT(AB24),COUNT(AB25))=1,CHOOSE($D$6,AB23,AB24,AB25)&gt;=0),CHOOSE($D$6,AB23,AB24,AB25),"Missing / invalid"),"Invalid controls")</x:f>
        <x:v>120</x:v>
      </x:c>
    </x:row>
    <x:row r="23" ht="23" customHeight="1">
      <x:c r="A23" s="1"/>
      <x:c r="B23" s="1"/>
      <x:c r="C23" s="1" t="str">
        <x:v>Base</x:v>
      </x:c>
      <x:c r="D23" s="3"/>
      <x:c r="E23" s="27" t="n">
        <x:v>120</x:v>
      </x:c>
      <x:c r="F23" s="27" t="n">
        <x:v>120</x:v>
      </x:c>
      <x:c r="G23" s="27" t="n">
        <x:v>120</x:v>
      </x:c>
      <x:c r="H23" s="27" t="n">
        <x:v>120</x:v>
      </x:c>
      <x:c r="I23" s="27" t="n">
        <x:v>120</x:v>
      </x:c>
      <x:c r="J23" s="27" t="n">
        <x:v>120</x:v>
      </x:c>
      <x:c r="K23" s="27" t="n">
        <x:v>120</x:v>
      </x:c>
      <x:c r="L23" s="27" t="n">
        <x:v>120</x:v>
      </x:c>
      <x:c r="M23" s="27" t="n">
        <x:v>120</x:v>
      </x:c>
      <x:c r="N23" s="27" t="n">
        <x:v>120</x:v>
      </x:c>
      <x:c r="O23" s="27" t="n">
        <x:v>120</x:v>
      </x:c>
      <x:c r="P23" s="27" t="n">
        <x:v>120</x:v>
      </x:c>
      <x:c r="Q23" s="27" t="n">
        <x:v>120</x:v>
      </x:c>
      <x:c r="R23" s="27" t="n">
        <x:v>120</x:v>
      </x:c>
      <x:c r="S23" s="27" t="n">
        <x:v>120</x:v>
      </x:c>
      <x:c r="T23" s="27" t="n">
        <x:v>120</x:v>
      </x:c>
      <x:c r="U23" s="27" t="n">
        <x:v>120</x:v>
      </x:c>
      <x:c r="V23" s="27" t="n">
        <x:v>120</x:v>
      </x:c>
      <x:c r="W23" s="27" t="n">
        <x:v>120</x:v>
      </x:c>
      <x:c r="X23" s="27" t="n">
        <x:v>120</x:v>
      </x:c>
      <x:c r="Y23" s="27" t="n">
        <x:v>120</x:v>
      </x:c>
      <x:c r="Z23" s="27" t="n">
        <x:v>120</x:v>
      </x:c>
      <x:c r="AA23" s="27" t="n">
        <x:v>120</x:v>
      </x:c>
      <x:c r="AB23" s="27" t="n">
        <x:v>120</x:v>
      </x:c>
    </x:row>
    <x:row r="24" ht="23" customHeight="1">
      <x:c r="A24" s="1"/>
      <x:c r="B24" s="1"/>
      <x:c r="C24" s="1" t="str">
        <x:v>Downside</x:v>
      </x:c>
      <x:c r="D24" s="3"/>
      <x:c r="E24" s="27" t="n">
        <x:v>90</x:v>
      </x:c>
      <x:c r="F24" s="27" t="n">
        <x:v>90</x:v>
      </x:c>
      <x:c r="G24" s="27" t="n">
        <x:v>90</x:v>
      </x:c>
      <x:c r="H24" s="27" t="n">
        <x:v>90</x:v>
      </x:c>
      <x:c r="I24" s="27" t="n">
        <x:v>90</x:v>
      </x:c>
      <x:c r="J24" s="27" t="n">
        <x:v>90</x:v>
      </x:c>
      <x:c r="K24" s="27" t="n">
        <x:v>90</x:v>
      </x:c>
      <x:c r="L24" s="27" t="n">
        <x:v>90</x:v>
      </x:c>
      <x:c r="M24" s="27" t="n">
        <x:v>90</x:v>
      </x:c>
      <x:c r="N24" s="27" t="n">
        <x:v>90</x:v>
      </x:c>
      <x:c r="O24" s="27" t="n">
        <x:v>90</x:v>
      </x:c>
      <x:c r="P24" s="27" t="n">
        <x:v>90</x:v>
      </x:c>
      <x:c r="Q24" s="27" t="n">
        <x:v>90</x:v>
      </x:c>
      <x:c r="R24" s="27" t="n">
        <x:v>90</x:v>
      </x:c>
      <x:c r="S24" s="27" t="n">
        <x:v>90</x:v>
      </x:c>
      <x:c r="T24" s="27" t="n">
        <x:v>90</x:v>
      </x:c>
      <x:c r="U24" s="27" t="n">
        <x:v>90</x:v>
      </x:c>
      <x:c r="V24" s="27" t="n">
        <x:v>90</x:v>
      </x:c>
      <x:c r="W24" s="27" t="n">
        <x:v>90</x:v>
      </x:c>
      <x:c r="X24" s="27" t="n">
        <x:v>90</x:v>
      </x:c>
      <x:c r="Y24" s="27" t="n">
        <x:v>90</x:v>
      </x:c>
      <x:c r="Z24" s="27" t="n">
        <x:v>90</x:v>
      </x:c>
      <x:c r="AA24" s="27" t="n">
        <x:v>90</x:v>
      </x:c>
      <x:c r="AB24" s="27" t="n">
        <x:v>90</x:v>
      </x:c>
    </x:row>
    <x:row r="25" ht="23" customHeight="1">
      <x:c r="A25" s="1"/>
      <x:c r="B25" s="1"/>
      <x:c r="C25" s="1" t="str">
        <x:v>Upside</x:v>
      </x:c>
      <x:c r="D25" s="3"/>
      <x:c r="E25" s="27" t="n">
        <x:v>140</x:v>
      </x:c>
      <x:c r="F25" s="27" t="n">
        <x:v>140</x:v>
      </x:c>
      <x:c r="G25" s="27" t="n">
        <x:v>140</x:v>
      </x:c>
      <x:c r="H25" s="27" t="n">
        <x:v>140</x:v>
      </x:c>
      <x:c r="I25" s="27" t="n">
        <x:v>140</x:v>
      </x:c>
      <x:c r="J25" s="27" t="n">
        <x:v>140</x:v>
      </x:c>
      <x:c r="K25" s="27" t="n">
        <x:v>140</x:v>
      </x:c>
      <x:c r="L25" s="27" t="n">
        <x:v>140</x:v>
      </x:c>
      <x:c r="M25" s="27" t="n">
        <x:v>140</x:v>
      </x:c>
      <x:c r="N25" s="27" t="n">
        <x:v>140</x:v>
      </x:c>
      <x:c r="O25" s="27" t="n">
        <x:v>140</x:v>
      </x:c>
      <x:c r="P25" s="27" t="n">
        <x:v>140</x:v>
      </x:c>
      <x:c r="Q25" s="27" t="n">
        <x:v>140</x:v>
      </x:c>
      <x:c r="R25" s="27" t="n">
        <x:v>140</x:v>
      </x:c>
      <x:c r="S25" s="27" t="n">
        <x:v>140</x:v>
      </x:c>
      <x:c r="T25" s="27" t="n">
        <x:v>140</x:v>
      </x:c>
      <x:c r="U25" s="27" t="n">
        <x:v>140</x:v>
      </x:c>
      <x:c r="V25" s="27" t="n">
        <x:v>140</x:v>
      </x:c>
      <x:c r="W25" s="27" t="n">
        <x:v>140</x:v>
      </x:c>
      <x:c r="X25" s="27" t="n">
        <x:v>140</x:v>
      </x:c>
      <x:c r="Y25" s="27" t="n">
        <x:v>140</x:v>
      </x:c>
      <x:c r="Z25" s="27" t="n">
        <x:v>140</x:v>
      </x:c>
      <x:c r="AA25" s="27" t="n">
        <x:v>140</x:v>
      </x:c>
      <x:c r="AB25" s="27" t="n">
        <x:v>140</x:v>
      </x:c>
    </x:row>
    <x:row r="26" ht="23" customHeight="1">
      <x:c r="A26" s="1"/>
      <x:c r="B26" s="1"/>
      <x:c r="C26" s="1"/>
      <x:c r="D26" s="3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  <x:c r="AA26" s="4"/>
      <x:c r="AB26" s="4"/>
    </x:row>
    <x:row r="27" ht="23" customHeight="1">
      <x:c r="A27" s="1"/>
      <x:c r="B27" s="1"/>
      <x:c r="C27" s="23" t="str">
        <x:v>Added demand each month — Active</x:v>
      </x:c>
      <x:c r="D27" s="24"/>
      <x:c r="E27" s="25" t="n">
        <x:f>IF($D$17="Yes",IF(AND(CHOOSE($D$6,COUNT(E28),COUNT(E29),COUNT(E30))=1,CHOOSE($D$6,E28,E29,E30)&gt;=0),CHOOSE($D$6,E28,E29,E30),"Missing / invalid"),"Invalid controls")</x:f>
        <x:v>10</x:v>
      </x:c>
      <x:c r="F27" s="25" t="n">
        <x:f>IF($D$17="Yes",IF(AND(CHOOSE($D$6,COUNT(F28),COUNT(F29),COUNT(F30))=1,CHOOSE($D$6,F28,F29,F30)&gt;=0),CHOOSE($D$6,F28,F29,F30),"Missing / invalid"),"Invalid controls")</x:f>
        <x:v>10</x:v>
      </x:c>
      <x:c r="G27" s="25" t="n">
        <x:f>IF($D$17="Yes",IF(AND(CHOOSE($D$6,COUNT(G28),COUNT(G29),COUNT(G30))=1,CHOOSE($D$6,G28,G29,G30)&gt;=0),CHOOSE($D$6,G28,G29,G30),"Missing / invalid"),"Invalid controls")</x:f>
        <x:v>10</x:v>
      </x:c>
      <x:c r="H27" s="25" t="n">
        <x:f>IF($D$17="Yes",IF(AND(CHOOSE($D$6,COUNT(H28),COUNT(H29),COUNT(H30))=1,CHOOSE($D$6,H28,H29,H30)&gt;=0),CHOOSE($D$6,H28,H29,H30),"Missing / invalid"),"Invalid controls")</x:f>
        <x:v>10</x:v>
      </x:c>
      <x:c r="I27" s="25" t="n">
        <x:f>IF($D$17="Yes",IF(AND(CHOOSE($D$6,COUNT(I28),COUNT(I29),COUNT(I30))=1,CHOOSE($D$6,I28,I29,I30)&gt;=0),CHOOSE($D$6,I28,I29,I30),"Missing / invalid"),"Invalid controls")</x:f>
        <x:v>10</x:v>
      </x:c>
      <x:c r="J27" s="25" t="n">
        <x:f>IF($D$17="Yes",IF(AND(CHOOSE($D$6,COUNT(J28),COUNT(J29),COUNT(J30))=1,CHOOSE($D$6,J28,J29,J30)&gt;=0),CHOOSE($D$6,J28,J29,J30),"Missing / invalid"),"Invalid controls")</x:f>
        <x:v>10</x:v>
      </x:c>
      <x:c r="K27" s="25" t="n">
        <x:f>IF($D$17="Yes",IF(AND(CHOOSE($D$6,COUNT(K28),COUNT(K29),COUNT(K30))=1,CHOOSE($D$6,K28,K29,K30)&gt;=0),CHOOSE($D$6,K28,K29,K30),"Missing / invalid"),"Invalid controls")</x:f>
        <x:v>10</x:v>
      </x:c>
      <x:c r="L27" s="25" t="n">
        <x:f>IF($D$17="Yes",IF(AND(CHOOSE($D$6,COUNT(L28),COUNT(L29),COUNT(L30))=1,CHOOSE($D$6,L28,L29,L30)&gt;=0),CHOOSE($D$6,L28,L29,L30),"Missing / invalid"),"Invalid controls")</x:f>
        <x:v>10</x:v>
      </x:c>
      <x:c r="M27" s="25" t="n">
        <x:f>IF($D$17="Yes",IF(AND(CHOOSE($D$6,COUNT(M28),COUNT(M29),COUNT(M30))=1,CHOOSE($D$6,M28,M29,M30)&gt;=0),CHOOSE($D$6,M28,M29,M30),"Missing / invalid"),"Invalid controls")</x:f>
        <x:v>10</x:v>
      </x:c>
      <x:c r="N27" s="25" t="n">
        <x:f>IF($D$17="Yes",IF(AND(CHOOSE($D$6,COUNT(N28),COUNT(N29),COUNT(N30))=1,CHOOSE($D$6,N28,N29,N30)&gt;=0),CHOOSE($D$6,N28,N29,N30),"Missing / invalid"),"Invalid controls")</x:f>
        <x:v>10</x:v>
      </x:c>
      <x:c r="O27" s="25" t="n">
        <x:f>IF($D$17="Yes",IF(AND(CHOOSE($D$6,COUNT(O28),COUNT(O29),COUNT(O30))=1,CHOOSE($D$6,O28,O29,O30)&gt;=0),CHOOSE($D$6,O28,O29,O30),"Missing / invalid"),"Invalid controls")</x:f>
        <x:v>10</x:v>
      </x:c>
      <x:c r="P27" s="25" t="n">
        <x:f>IF($D$17="Yes",IF(AND(CHOOSE($D$6,COUNT(P28),COUNT(P29),COUNT(P30))=1,CHOOSE($D$6,P28,P29,P30)&gt;=0),CHOOSE($D$6,P28,P29,P30),"Missing / invalid"),"Invalid controls")</x:f>
        <x:v>10</x:v>
      </x:c>
      <x:c r="Q27" s="25" t="n">
        <x:f>IF($D$17="Yes",IF(AND(CHOOSE($D$6,COUNT(Q28),COUNT(Q29),COUNT(Q30))=1,CHOOSE($D$6,Q28,Q29,Q30)&gt;=0),CHOOSE($D$6,Q28,Q29,Q30),"Missing / invalid"),"Invalid controls")</x:f>
        <x:v>10</x:v>
      </x:c>
      <x:c r="R27" s="25" t="n">
        <x:f>IF($D$17="Yes",IF(AND(CHOOSE($D$6,COUNT(R28),COUNT(R29),COUNT(R30))=1,CHOOSE($D$6,R28,R29,R30)&gt;=0),CHOOSE($D$6,R28,R29,R30),"Missing / invalid"),"Invalid controls")</x:f>
        <x:v>10</x:v>
      </x:c>
      <x:c r="S27" s="25" t="n">
        <x:f>IF($D$17="Yes",IF(AND(CHOOSE($D$6,COUNT(S28),COUNT(S29),COUNT(S30))=1,CHOOSE($D$6,S28,S29,S30)&gt;=0),CHOOSE($D$6,S28,S29,S30),"Missing / invalid"),"Invalid controls")</x:f>
        <x:v>10</x:v>
      </x:c>
      <x:c r="T27" s="25" t="n">
        <x:f>IF($D$17="Yes",IF(AND(CHOOSE($D$6,COUNT(T28),COUNT(T29),COUNT(T30))=1,CHOOSE($D$6,T28,T29,T30)&gt;=0),CHOOSE($D$6,T28,T29,T30),"Missing / invalid"),"Invalid controls")</x:f>
        <x:v>10</x:v>
      </x:c>
      <x:c r="U27" s="25" t="n">
        <x:f>IF($D$17="Yes",IF(AND(CHOOSE($D$6,COUNT(U28),COUNT(U29),COUNT(U30))=1,CHOOSE($D$6,U28,U29,U30)&gt;=0),CHOOSE($D$6,U28,U29,U30),"Missing / invalid"),"Invalid controls")</x:f>
        <x:v>10</x:v>
      </x:c>
      <x:c r="V27" s="25" t="n">
        <x:f>IF($D$17="Yes",IF(AND(CHOOSE($D$6,COUNT(V28),COUNT(V29),COUNT(V30))=1,CHOOSE($D$6,V28,V29,V30)&gt;=0),CHOOSE($D$6,V28,V29,V30),"Missing / invalid"),"Invalid controls")</x:f>
        <x:v>10</x:v>
      </x:c>
      <x:c r="W27" s="25" t="n">
        <x:f>IF($D$17="Yes",IF(AND(CHOOSE($D$6,COUNT(W28),COUNT(W29),COUNT(W30))=1,CHOOSE($D$6,W28,W29,W30)&gt;=0),CHOOSE($D$6,W28,W29,W30),"Missing / invalid"),"Invalid controls")</x:f>
        <x:v>10</x:v>
      </x:c>
      <x:c r="X27" s="25" t="n">
        <x:f>IF($D$17="Yes",IF(AND(CHOOSE($D$6,COUNT(X28),COUNT(X29),COUNT(X30))=1,CHOOSE($D$6,X28,X29,X30)&gt;=0),CHOOSE($D$6,X28,X29,X30),"Missing / invalid"),"Invalid controls")</x:f>
        <x:v>10</x:v>
      </x:c>
      <x:c r="Y27" s="25" t="n">
        <x:f>IF($D$17="Yes",IF(AND(CHOOSE($D$6,COUNT(Y28),COUNT(Y29),COUNT(Y30))=1,CHOOSE($D$6,Y28,Y29,Y30)&gt;=0),CHOOSE($D$6,Y28,Y29,Y30),"Missing / invalid"),"Invalid controls")</x:f>
        <x:v>10</x:v>
      </x:c>
      <x:c r="Z27" s="25" t="n">
        <x:f>IF($D$17="Yes",IF(AND(CHOOSE($D$6,COUNT(Z28),COUNT(Z29),COUNT(Z30))=1,CHOOSE($D$6,Z28,Z29,Z30)&gt;=0),CHOOSE($D$6,Z28,Z29,Z30),"Missing / invalid"),"Invalid controls")</x:f>
        <x:v>10</x:v>
      </x:c>
      <x:c r="AA27" s="25" t="n">
        <x:f>IF($D$17="Yes",IF(AND(CHOOSE($D$6,COUNT(AA28),COUNT(AA29),COUNT(AA30))=1,CHOOSE($D$6,AA28,AA29,AA30)&gt;=0),CHOOSE($D$6,AA28,AA29,AA30),"Missing / invalid"),"Invalid controls")</x:f>
        <x:v>10</x:v>
      </x:c>
      <x:c r="AB27" s="25" t="n">
        <x:f>IF($D$17="Yes",IF(AND(CHOOSE($D$6,COUNT(AB28),COUNT(AB29),COUNT(AB30))=1,CHOOSE($D$6,AB28,AB29,AB30)&gt;=0),CHOOSE($D$6,AB28,AB29,AB30),"Missing / invalid"),"Invalid controls")</x:f>
        <x:v>10</x:v>
      </x:c>
    </x:row>
    <x:row r="28" ht="23" customHeight="1">
      <x:c r="A28" s="1"/>
      <x:c r="B28" s="1"/>
      <x:c r="C28" s="1" t="str">
        <x:v>Base</x:v>
      </x:c>
      <x:c r="D28" s="3"/>
      <x:c r="E28" s="27" t="n">
        <x:v>10</x:v>
      </x:c>
      <x:c r="F28" s="27" t="n">
        <x:v>10</x:v>
      </x:c>
      <x:c r="G28" s="27" t="n">
        <x:v>10</x:v>
      </x:c>
      <x:c r="H28" s="27" t="n">
        <x:v>10</x:v>
      </x:c>
      <x:c r="I28" s="27" t="n">
        <x:v>10</x:v>
      </x:c>
      <x:c r="J28" s="27" t="n">
        <x:v>10</x:v>
      </x:c>
      <x:c r="K28" s="27" t="n">
        <x:v>10</x:v>
      </x:c>
      <x:c r="L28" s="27" t="n">
        <x:v>10</x:v>
      </x:c>
      <x:c r="M28" s="27" t="n">
        <x:v>10</x:v>
      </x:c>
      <x:c r="N28" s="27" t="n">
        <x:v>10</x:v>
      </x:c>
      <x:c r="O28" s="27" t="n">
        <x:v>10</x:v>
      </x:c>
      <x:c r="P28" s="27" t="n">
        <x:v>10</x:v>
      </x:c>
      <x:c r="Q28" s="27" t="n">
        <x:v>10</x:v>
      </x:c>
      <x:c r="R28" s="27" t="n">
        <x:v>10</x:v>
      </x:c>
      <x:c r="S28" s="27" t="n">
        <x:v>10</x:v>
      </x:c>
      <x:c r="T28" s="27" t="n">
        <x:v>10</x:v>
      </x:c>
      <x:c r="U28" s="27" t="n">
        <x:v>10</x:v>
      </x:c>
      <x:c r="V28" s="27" t="n">
        <x:v>10</x:v>
      </x:c>
      <x:c r="W28" s="27" t="n">
        <x:v>10</x:v>
      </x:c>
      <x:c r="X28" s="27" t="n">
        <x:v>10</x:v>
      </x:c>
      <x:c r="Y28" s="27" t="n">
        <x:v>10</x:v>
      </x:c>
      <x:c r="Z28" s="27" t="n">
        <x:v>10</x:v>
      </x:c>
      <x:c r="AA28" s="27" t="n">
        <x:v>10</x:v>
      </x:c>
      <x:c r="AB28" s="27" t="n">
        <x:v>10</x:v>
      </x:c>
    </x:row>
    <x:row r="29" ht="23" customHeight="1">
      <x:c r="A29" s="1"/>
      <x:c r="B29" s="1"/>
      <x:c r="C29" s="1" t="str">
        <x:v>Downside</x:v>
      </x:c>
      <x:c r="D29" s="3"/>
      <x:c r="E29" s="27" t="n">
        <x:v>5</x:v>
      </x:c>
      <x:c r="F29" s="27" t="n">
        <x:v>5</x:v>
      </x:c>
      <x:c r="G29" s="27" t="n">
        <x:v>5</x:v>
      </x:c>
      <x:c r="H29" s="27" t="n">
        <x:v>5</x:v>
      </x:c>
      <x:c r="I29" s="27" t="n">
        <x:v>5</x:v>
      </x:c>
      <x:c r="J29" s="27" t="n">
        <x:v>5</x:v>
      </x:c>
      <x:c r="K29" s="27" t="n">
        <x:v>5</x:v>
      </x:c>
      <x:c r="L29" s="27" t="n">
        <x:v>5</x:v>
      </x:c>
      <x:c r="M29" s="27" t="n">
        <x:v>5</x:v>
      </x:c>
      <x:c r="N29" s="27" t="n">
        <x:v>5</x:v>
      </x:c>
      <x:c r="O29" s="27" t="n">
        <x:v>5</x:v>
      </x:c>
      <x:c r="P29" s="27" t="n">
        <x:v>5</x:v>
      </x:c>
      <x:c r="Q29" s="27" t="n">
        <x:v>5</x:v>
      </x:c>
      <x:c r="R29" s="27" t="n">
        <x:v>5</x:v>
      </x:c>
      <x:c r="S29" s="27" t="n">
        <x:v>5</x:v>
      </x:c>
      <x:c r="T29" s="27" t="n">
        <x:v>5</x:v>
      </x:c>
      <x:c r="U29" s="27" t="n">
        <x:v>5</x:v>
      </x:c>
      <x:c r="V29" s="27" t="n">
        <x:v>5</x:v>
      </x:c>
      <x:c r="W29" s="27" t="n">
        <x:v>5</x:v>
      </x:c>
      <x:c r="X29" s="27" t="n">
        <x:v>5</x:v>
      </x:c>
      <x:c r="Y29" s="27" t="n">
        <x:v>5</x:v>
      </x:c>
      <x:c r="Z29" s="27" t="n">
        <x:v>5</x:v>
      </x:c>
      <x:c r="AA29" s="27" t="n">
        <x:v>5</x:v>
      </x:c>
      <x:c r="AB29" s="27" t="n">
        <x:v>5</x:v>
      </x:c>
    </x:row>
    <x:row r="30" ht="23" customHeight="1">
      <x:c r="A30" s="1"/>
      <x:c r="B30" s="1"/>
      <x:c r="C30" s="1" t="str">
        <x:v>Upside</x:v>
      </x:c>
      <x:c r="D30" s="3"/>
      <x:c r="E30" s="27" t="n">
        <x:v>15</x:v>
      </x:c>
      <x:c r="F30" s="27" t="n">
        <x:v>15</x:v>
      </x:c>
      <x:c r="G30" s="27" t="n">
        <x:v>15</x:v>
      </x:c>
      <x:c r="H30" s="27" t="n">
        <x:v>15</x:v>
      </x:c>
      <x:c r="I30" s="27" t="n">
        <x:v>15</x:v>
      </x:c>
      <x:c r="J30" s="27" t="n">
        <x:v>15</x:v>
      </x:c>
      <x:c r="K30" s="27" t="n">
        <x:v>15</x:v>
      </x:c>
      <x:c r="L30" s="27" t="n">
        <x:v>15</x:v>
      </x:c>
      <x:c r="M30" s="27" t="n">
        <x:v>15</x:v>
      </x:c>
      <x:c r="N30" s="27" t="n">
        <x:v>15</x:v>
      </x:c>
      <x:c r="O30" s="27" t="n">
        <x:v>15</x:v>
      </x:c>
      <x:c r="P30" s="27" t="n">
        <x:v>15</x:v>
      </x:c>
      <x:c r="Q30" s="27" t="n">
        <x:v>15</x:v>
      </x:c>
      <x:c r="R30" s="27" t="n">
        <x:v>15</x:v>
      </x:c>
      <x:c r="S30" s="27" t="n">
        <x:v>15</x:v>
      </x:c>
      <x:c r="T30" s="27" t="n">
        <x:v>15</x:v>
      </x:c>
      <x:c r="U30" s="27" t="n">
        <x:v>15</x:v>
      </x:c>
      <x:c r="V30" s="27" t="n">
        <x:v>15</x:v>
      </x:c>
      <x:c r="W30" s="27" t="n">
        <x:v>15</x:v>
      </x:c>
      <x:c r="X30" s="27" t="n">
        <x:v>15</x:v>
      </x:c>
      <x:c r="Y30" s="27" t="n">
        <x:v>15</x:v>
      </x:c>
      <x:c r="Z30" s="27" t="n">
        <x:v>15</x:v>
      </x:c>
      <x:c r="AA30" s="27" t="n">
        <x:v>15</x:v>
      </x:c>
      <x:c r="AB30" s="27" t="n">
        <x:v>15</x:v>
      </x:c>
    </x:row>
    <x:row r="31" ht="23" customHeight="1">
      <x:c r="A31" s="1"/>
      <x:c r="B31" s="1"/>
      <x:c r="C31" s="1"/>
      <x:c r="D31" s="3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  <x:c r="AA31" s="4"/>
      <x:c r="AB31" s="4"/>
    </x:row>
    <x:row r="32" ht="23" customHeight="1">
      <x:c r="A32" s="1"/>
      <x:c r="B32" s="1"/>
      <x:c r="C32" s="23" t="str">
        <x:v>Price, USD/service — Active</x:v>
      </x:c>
      <x:c r="D32" s="24"/>
      <x:c r="E32" s="25" t="n">
        <x:f>IF($D$17="Yes",IF(AND(CHOOSE($D$6,COUNT(E33),COUNT(E34),COUNT(E35))=1,CHOOSE($D$6,E33,E34,E35)&gt;=0),CHOOSE($D$6,E33,E34,E35),"Missing / invalid"),"Invalid controls")</x:f>
        <x:v>100</x:v>
      </x:c>
      <x:c r="F32" s="25" t="n">
        <x:f>IF($D$17="Yes",IF(AND(CHOOSE($D$6,COUNT(F33),COUNT(F34),COUNT(F35))=1,CHOOSE($D$6,F33,F34,F35)&gt;=0),CHOOSE($D$6,F33,F34,F35),"Missing / invalid"),"Invalid controls")</x:f>
        <x:v>100</x:v>
      </x:c>
      <x:c r="G32" s="25" t="n">
        <x:f>IF($D$17="Yes",IF(AND(CHOOSE($D$6,COUNT(G33),COUNT(G34),COUNT(G35))=1,CHOOSE($D$6,G33,G34,G35)&gt;=0),CHOOSE($D$6,G33,G34,G35),"Missing / invalid"),"Invalid controls")</x:f>
        <x:v>100</x:v>
      </x:c>
      <x:c r="H32" s="25" t="n">
        <x:f>IF($D$17="Yes",IF(AND(CHOOSE($D$6,COUNT(H33),COUNT(H34),COUNT(H35))=1,CHOOSE($D$6,H33,H34,H35)&gt;=0),CHOOSE($D$6,H33,H34,H35),"Missing / invalid"),"Invalid controls")</x:f>
        <x:v>100</x:v>
      </x:c>
      <x:c r="I32" s="25" t="n">
        <x:f>IF($D$17="Yes",IF(AND(CHOOSE($D$6,COUNT(I33),COUNT(I34),COUNT(I35))=1,CHOOSE($D$6,I33,I34,I35)&gt;=0),CHOOSE($D$6,I33,I34,I35),"Missing / invalid"),"Invalid controls")</x:f>
        <x:v>100</x:v>
      </x:c>
      <x:c r="J32" s="25" t="n">
        <x:f>IF($D$17="Yes",IF(AND(CHOOSE($D$6,COUNT(J33),COUNT(J34),COUNT(J35))=1,CHOOSE($D$6,J33,J34,J35)&gt;=0),CHOOSE($D$6,J33,J34,J35),"Missing / invalid"),"Invalid controls")</x:f>
        <x:v>100</x:v>
      </x:c>
      <x:c r="K32" s="25" t="n">
        <x:f>IF($D$17="Yes",IF(AND(CHOOSE($D$6,COUNT(K33),COUNT(K34),COUNT(K35))=1,CHOOSE($D$6,K33,K34,K35)&gt;=0),CHOOSE($D$6,K33,K34,K35),"Missing / invalid"),"Invalid controls")</x:f>
        <x:v>100</x:v>
      </x:c>
      <x:c r="L32" s="25" t="n">
        <x:f>IF($D$17="Yes",IF(AND(CHOOSE($D$6,COUNT(L33),COUNT(L34),COUNT(L35))=1,CHOOSE($D$6,L33,L34,L35)&gt;=0),CHOOSE($D$6,L33,L34,L35),"Missing / invalid"),"Invalid controls")</x:f>
        <x:v>100</x:v>
      </x:c>
      <x:c r="M32" s="25" t="n">
        <x:f>IF($D$17="Yes",IF(AND(CHOOSE($D$6,COUNT(M33),COUNT(M34),COUNT(M35))=1,CHOOSE($D$6,M33,M34,M35)&gt;=0),CHOOSE($D$6,M33,M34,M35),"Missing / invalid"),"Invalid controls")</x:f>
        <x:v>100</x:v>
      </x:c>
      <x:c r="N32" s="25" t="n">
        <x:f>IF($D$17="Yes",IF(AND(CHOOSE($D$6,COUNT(N33),COUNT(N34),COUNT(N35))=1,CHOOSE($D$6,N33,N34,N35)&gt;=0),CHOOSE($D$6,N33,N34,N35),"Missing / invalid"),"Invalid controls")</x:f>
        <x:v>100</x:v>
      </x:c>
      <x:c r="O32" s="25" t="n">
        <x:f>IF($D$17="Yes",IF(AND(CHOOSE($D$6,COUNT(O33),COUNT(O34),COUNT(O35))=1,CHOOSE($D$6,O33,O34,O35)&gt;=0),CHOOSE($D$6,O33,O34,O35),"Missing / invalid"),"Invalid controls")</x:f>
        <x:v>100</x:v>
      </x:c>
      <x:c r="P32" s="25" t="n">
        <x:f>IF($D$17="Yes",IF(AND(CHOOSE($D$6,COUNT(P33),COUNT(P34),COUNT(P35))=1,CHOOSE($D$6,P33,P34,P35)&gt;=0),CHOOSE($D$6,P33,P34,P35),"Missing / invalid"),"Invalid controls")</x:f>
        <x:v>100</x:v>
      </x:c>
      <x:c r="Q32" s="25" t="n">
        <x:f>IF($D$17="Yes",IF(AND(CHOOSE($D$6,COUNT(Q33),COUNT(Q34),COUNT(Q35))=1,CHOOSE($D$6,Q33,Q34,Q35)&gt;=0),CHOOSE($D$6,Q33,Q34,Q35),"Missing / invalid"),"Invalid controls")</x:f>
        <x:v>100</x:v>
      </x:c>
      <x:c r="R32" s="25" t="n">
        <x:f>IF($D$17="Yes",IF(AND(CHOOSE($D$6,COUNT(R33),COUNT(R34),COUNT(R35))=1,CHOOSE($D$6,R33,R34,R35)&gt;=0),CHOOSE($D$6,R33,R34,R35),"Missing / invalid"),"Invalid controls")</x:f>
        <x:v>100</x:v>
      </x:c>
      <x:c r="S32" s="25" t="n">
        <x:f>IF($D$17="Yes",IF(AND(CHOOSE($D$6,COUNT(S33),COUNT(S34),COUNT(S35))=1,CHOOSE($D$6,S33,S34,S35)&gt;=0),CHOOSE($D$6,S33,S34,S35),"Missing / invalid"),"Invalid controls")</x:f>
        <x:v>100</x:v>
      </x:c>
      <x:c r="T32" s="25" t="n">
        <x:f>IF($D$17="Yes",IF(AND(CHOOSE($D$6,COUNT(T33),COUNT(T34),COUNT(T35))=1,CHOOSE($D$6,T33,T34,T35)&gt;=0),CHOOSE($D$6,T33,T34,T35),"Missing / invalid"),"Invalid controls")</x:f>
        <x:v>100</x:v>
      </x:c>
      <x:c r="U32" s="25" t="n">
        <x:f>IF($D$17="Yes",IF(AND(CHOOSE($D$6,COUNT(U33),COUNT(U34),COUNT(U35))=1,CHOOSE($D$6,U33,U34,U35)&gt;=0),CHOOSE($D$6,U33,U34,U35),"Missing / invalid"),"Invalid controls")</x:f>
        <x:v>100</x:v>
      </x:c>
      <x:c r="V32" s="25" t="n">
        <x:f>IF($D$17="Yes",IF(AND(CHOOSE($D$6,COUNT(V33),COUNT(V34),COUNT(V35))=1,CHOOSE($D$6,V33,V34,V35)&gt;=0),CHOOSE($D$6,V33,V34,V35),"Missing / invalid"),"Invalid controls")</x:f>
        <x:v>100</x:v>
      </x:c>
      <x:c r="W32" s="25" t="n">
        <x:f>IF($D$17="Yes",IF(AND(CHOOSE($D$6,COUNT(W33),COUNT(W34),COUNT(W35))=1,CHOOSE($D$6,W33,W34,W35)&gt;=0),CHOOSE($D$6,W33,W34,W35),"Missing / invalid"),"Invalid controls")</x:f>
        <x:v>100</x:v>
      </x:c>
      <x:c r="X32" s="25" t="n">
        <x:f>IF($D$17="Yes",IF(AND(CHOOSE($D$6,COUNT(X33),COUNT(X34),COUNT(X35))=1,CHOOSE($D$6,X33,X34,X35)&gt;=0),CHOOSE($D$6,X33,X34,X35),"Missing / invalid"),"Invalid controls")</x:f>
        <x:v>100</x:v>
      </x:c>
      <x:c r="Y32" s="25" t="n">
        <x:f>IF($D$17="Yes",IF(AND(CHOOSE($D$6,COUNT(Y33),COUNT(Y34),COUNT(Y35))=1,CHOOSE($D$6,Y33,Y34,Y35)&gt;=0),CHOOSE($D$6,Y33,Y34,Y35),"Missing / invalid"),"Invalid controls")</x:f>
        <x:v>100</x:v>
      </x:c>
      <x:c r="Z32" s="25" t="n">
        <x:f>IF($D$17="Yes",IF(AND(CHOOSE($D$6,COUNT(Z33),COUNT(Z34),COUNT(Z35))=1,CHOOSE($D$6,Z33,Z34,Z35)&gt;=0),CHOOSE($D$6,Z33,Z34,Z35),"Missing / invalid"),"Invalid controls")</x:f>
        <x:v>100</x:v>
      </x:c>
      <x:c r="AA32" s="25" t="n">
        <x:f>IF($D$17="Yes",IF(AND(CHOOSE($D$6,COUNT(AA33),COUNT(AA34),COUNT(AA35))=1,CHOOSE($D$6,AA33,AA34,AA35)&gt;=0),CHOOSE($D$6,AA33,AA34,AA35),"Missing / invalid"),"Invalid controls")</x:f>
        <x:v>100</x:v>
      </x:c>
      <x:c r="AB32" s="25" t="n">
        <x:f>IF($D$17="Yes",IF(AND(CHOOSE($D$6,COUNT(AB33),COUNT(AB34),COUNT(AB35))=1,CHOOSE($D$6,AB33,AB34,AB35)&gt;=0),CHOOSE($D$6,AB33,AB34,AB35),"Missing / invalid"),"Invalid controls")</x:f>
        <x:v>100</x:v>
      </x:c>
    </x:row>
    <x:row r="33" ht="23" customHeight="1">
      <x:c r="A33" s="1"/>
      <x:c r="B33" s="1"/>
      <x:c r="C33" s="1" t="str">
        <x:v>Base</x:v>
      </x:c>
      <x:c r="D33" s="3"/>
      <x:c r="E33" s="27" t="n">
        <x:v>100</x:v>
      </x:c>
      <x:c r="F33" s="27" t="n">
        <x:v>100</x:v>
      </x:c>
      <x:c r="G33" s="27" t="n">
        <x:v>100</x:v>
      </x:c>
      <x:c r="H33" s="27" t="n">
        <x:v>100</x:v>
      </x:c>
      <x:c r="I33" s="27" t="n">
        <x:v>100</x:v>
      </x:c>
      <x:c r="J33" s="27" t="n">
        <x:v>100</x:v>
      </x:c>
      <x:c r="K33" s="27" t="n">
        <x:v>100</x:v>
      </x:c>
      <x:c r="L33" s="27" t="n">
        <x:v>100</x:v>
      </x:c>
      <x:c r="M33" s="27" t="n">
        <x:v>100</x:v>
      </x:c>
      <x:c r="N33" s="27" t="n">
        <x:v>100</x:v>
      </x:c>
      <x:c r="O33" s="27" t="n">
        <x:v>100</x:v>
      </x:c>
      <x:c r="P33" s="27" t="n">
        <x:v>100</x:v>
      </x:c>
      <x:c r="Q33" s="27" t="n">
        <x:v>100</x:v>
      </x:c>
      <x:c r="R33" s="27" t="n">
        <x:v>100</x:v>
      </x:c>
      <x:c r="S33" s="27" t="n">
        <x:v>100</x:v>
      </x:c>
      <x:c r="T33" s="27" t="n">
        <x:v>100</x:v>
      </x:c>
      <x:c r="U33" s="27" t="n">
        <x:v>100</x:v>
      </x:c>
      <x:c r="V33" s="27" t="n">
        <x:v>100</x:v>
      </x:c>
      <x:c r="W33" s="27" t="n">
        <x:v>100</x:v>
      </x:c>
      <x:c r="X33" s="27" t="n">
        <x:v>100</x:v>
      </x:c>
      <x:c r="Y33" s="27" t="n">
        <x:v>100</x:v>
      </x:c>
      <x:c r="Z33" s="27" t="n">
        <x:v>100</x:v>
      </x:c>
      <x:c r="AA33" s="27" t="n">
        <x:v>100</x:v>
      </x:c>
      <x:c r="AB33" s="27" t="n">
        <x:v>100</x:v>
      </x:c>
    </x:row>
    <x:row r="34" ht="23" customHeight="1">
      <x:c r="A34" s="1"/>
      <x:c r="B34" s="1"/>
      <x:c r="C34" s="1" t="str">
        <x:v>Downside</x:v>
      </x:c>
      <x:c r="D34" s="3"/>
      <x:c r="E34" s="27" t="n">
        <x:v>95</x:v>
      </x:c>
      <x:c r="F34" s="27" t="n">
        <x:v>95</x:v>
      </x:c>
      <x:c r="G34" s="27" t="n">
        <x:v>95</x:v>
      </x:c>
      <x:c r="H34" s="27" t="n">
        <x:v>95</x:v>
      </x:c>
      <x:c r="I34" s="27" t="n">
        <x:v>95</x:v>
      </x:c>
      <x:c r="J34" s="27" t="n">
        <x:v>95</x:v>
      </x:c>
      <x:c r="K34" s="27" t="n">
        <x:v>95</x:v>
      </x:c>
      <x:c r="L34" s="27" t="n">
        <x:v>95</x:v>
      </x:c>
      <x:c r="M34" s="27" t="n">
        <x:v>95</x:v>
      </x:c>
      <x:c r="N34" s="27" t="n">
        <x:v>95</x:v>
      </x:c>
      <x:c r="O34" s="27" t="n">
        <x:v>95</x:v>
      </x:c>
      <x:c r="P34" s="27" t="n">
        <x:v>95</x:v>
      </x:c>
      <x:c r="Q34" s="27" t="n">
        <x:v>95</x:v>
      </x:c>
      <x:c r="R34" s="27" t="n">
        <x:v>95</x:v>
      </x:c>
      <x:c r="S34" s="27" t="n">
        <x:v>95</x:v>
      </x:c>
      <x:c r="T34" s="27" t="n">
        <x:v>95</x:v>
      </x:c>
      <x:c r="U34" s="27" t="n">
        <x:v>95</x:v>
      </x:c>
      <x:c r="V34" s="27" t="n">
        <x:v>95</x:v>
      </x:c>
      <x:c r="W34" s="27" t="n">
        <x:v>95</x:v>
      </x:c>
      <x:c r="X34" s="27" t="n">
        <x:v>95</x:v>
      </x:c>
      <x:c r="Y34" s="27" t="n">
        <x:v>95</x:v>
      </x:c>
      <x:c r="Z34" s="27" t="n">
        <x:v>95</x:v>
      </x:c>
      <x:c r="AA34" s="27" t="n">
        <x:v>95</x:v>
      </x:c>
      <x:c r="AB34" s="27" t="n">
        <x:v>95</x:v>
      </x:c>
    </x:row>
    <x:row r="35" ht="23" customHeight="1">
      <x:c r="A35" s="1"/>
      <x:c r="B35" s="1"/>
      <x:c r="C35" s="1" t="str">
        <x:v>Upside</x:v>
      </x:c>
      <x:c r="D35" s="3"/>
      <x:c r="E35" s="27" t="n">
        <x:v>105</x:v>
      </x:c>
      <x:c r="F35" s="27" t="n">
        <x:v>105</x:v>
      </x:c>
      <x:c r="G35" s="27" t="n">
        <x:v>105</x:v>
      </x:c>
      <x:c r="H35" s="27" t="n">
        <x:v>105</x:v>
      </x:c>
      <x:c r="I35" s="27" t="n">
        <x:v>105</x:v>
      </x:c>
      <x:c r="J35" s="27" t="n">
        <x:v>105</x:v>
      </x:c>
      <x:c r="K35" s="27" t="n">
        <x:v>105</x:v>
      </x:c>
      <x:c r="L35" s="27" t="n">
        <x:v>105</x:v>
      </x:c>
      <x:c r="M35" s="27" t="n">
        <x:v>105</x:v>
      </x:c>
      <x:c r="N35" s="27" t="n">
        <x:v>105</x:v>
      </x:c>
      <x:c r="O35" s="27" t="n">
        <x:v>105</x:v>
      </x:c>
      <x:c r="P35" s="27" t="n">
        <x:v>105</x:v>
      </x:c>
      <x:c r="Q35" s="27" t="n">
        <x:v>105</x:v>
      </x:c>
      <x:c r="R35" s="27" t="n">
        <x:v>105</x:v>
      </x:c>
      <x:c r="S35" s="27" t="n">
        <x:v>105</x:v>
      </x:c>
      <x:c r="T35" s="27" t="n">
        <x:v>105</x:v>
      </x:c>
      <x:c r="U35" s="27" t="n">
        <x:v>105</x:v>
      </x:c>
      <x:c r="V35" s="27" t="n">
        <x:v>105</x:v>
      </x:c>
      <x:c r="W35" s="27" t="n">
        <x:v>105</x:v>
      </x:c>
      <x:c r="X35" s="27" t="n">
        <x:v>105</x:v>
      </x:c>
      <x:c r="Y35" s="27" t="n">
        <x:v>105</x:v>
      </x:c>
      <x:c r="Z35" s="27" t="n">
        <x:v>105</x:v>
      </x:c>
      <x:c r="AA35" s="27" t="n">
        <x:v>105</x:v>
      </x:c>
      <x:c r="AB35" s="27" t="n">
        <x:v>105</x:v>
      </x:c>
    </x:row>
    <x:row r="36" ht="23" customHeight="1">
      <x:c r="A36" s="1"/>
      <x:c r="B36" s="1"/>
      <x:c r="C36" s="1"/>
      <x:c r="D36" s="3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  <x:c r="AA36" s="4"/>
      <x:c r="AB36" s="4"/>
    </x:row>
    <x:row r="37" ht="23" customHeight="1">
      <x:c r="A37" s="1"/>
      <x:c r="B37" s="1"/>
      <x:c r="C37" s="23" t="str">
        <x:v>Variable cost, USD/service — Active</x:v>
      </x:c>
      <x:c r="D37" s="24"/>
      <x:c r="E37" s="25" t="n">
        <x:f>IF($D$17="Yes",IF(AND(CHOOSE($D$6,COUNT(E38),COUNT(E39),COUNT(E40))=1,CHOOSE($D$6,E38,E39,E40)&gt;=0),CHOOSE($D$6,E38,E39,E40),"Missing / invalid"),"Invalid controls")</x:f>
        <x:v>40</x:v>
      </x:c>
      <x:c r="F37" s="25" t="n">
        <x:f>IF($D$17="Yes",IF(AND(CHOOSE($D$6,COUNT(F38),COUNT(F39),COUNT(F40))=1,CHOOSE($D$6,F38,F39,F40)&gt;=0),CHOOSE($D$6,F38,F39,F40),"Missing / invalid"),"Invalid controls")</x:f>
        <x:v>40</x:v>
      </x:c>
      <x:c r="G37" s="25" t="n">
        <x:f>IF($D$17="Yes",IF(AND(CHOOSE($D$6,COUNT(G38),COUNT(G39),COUNT(G40))=1,CHOOSE($D$6,G38,G39,G40)&gt;=0),CHOOSE($D$6,G38,G39,G40),"Missing / invalid"),"Invalid controls")</x:f>
        <x:v>40</x:v>
      </x:c>
      <x:c r="H37" s="25" t="n">
        <x:f>IF($D$17="Yes",IF(AND(CHOOSE($D$6,COUNT(H38),COUNT(H39),COUNT(H40))=1,CHOOSE($D$6,H38,H39,H40)&gt;=0),CHOOSE($D$6,H38,H39,H40),"Missing / invalid"),"Invalid controls")</x:f>
        <x:v>40</x:v>
      </x:c>
      <x:c r="I37" s="25" t="n">
        <x:f>IF($D$17="Yes",IF(AND(CHOOSE($D$6,COUNT(I38),COUNT(I39),COUNT(I40))=1,CHOOSE($D$6,I38,I39,I40)&gt;=0),CHOOSE($D$6,I38,I39,I40),"Missing / invalid"),"Invalid controls")</x:f>
        <x:v>40</x:v>
      </x:c>
      <x:c r="J37" s="25" t="n">
        <x:f>IF($D$17="Yes",IF(AND(CHOOSE($D$6,COUNT(J38),COUNT(J39),COUNT(J40))=1,CHOOSE($D$6,J38,J39,J40)&gt;=0),CHOOSE($D$6,J38,J39,J40),"Missing / invalid"),"Invalid controls")</x:f>
        <x:v>40</x:v>
      </x:c>
      <x:c r="K37" s="25" t="n">
        <x:f>IF($D$17="Yes",IF(AND(CHOOSE($D$6,COUNT(K38),COUNT(K39),COUNT(K40))=1,CHOOSE($D$6,K38,K39,K40)&gt;=0),CHOOSE($D$6,K38,K39,K40),"Missing / invalid"),"Invalid controls")</x:f>
        <x:v>40</x:v>
      </x:c>
      <x:c r="L37" s="25" t="n">
        <x:f>IF($D$17="Yes",IF(AND(CHOOSE($D$6,COUNT(L38),COUNT(L39),COUNT(L40))=1,CHOOSE($D$6,L38,L39,L40)&gt;=0),CHOOSE($D$6,L38,L39,L40),"Missing / invalid"),"Invalid controls")</x:f>
        <x:v>40</x:v>
      </x:c>
      <x:c r="M37" s="25" t="n">
        <x:f>IF($D$17="Yes",IF(AND(CHOOSE($D$6,COUNT(M38),COUNT(M39),COUNT(M40))=1,CHOOSE($D$6,M38,M39,M40)&gt;=0),CHOOSE($D$6,M38,M39,M40),"Missing / invalid"),"Invalid controls")</x:f>
        <x:v>40</x:v>
      </x:c>
      <x:c r="N37" s="25" t="n">
        <x:f>IF($D$17="Yes",IF(AND(CHOOSE($D$6,COUNT(N38),COUNT(N39),COUNT(N40))=1,CHOOSE($D$6,N38,N39,N40)&gt;=0),CHOOSE($D$6,N38,N39,N40),"Missing / invalid"),"Invalid controls")</x:f>
        <x:v>40</x:v>
      </x:c>
      <x:c r="O37" s="25" t="n">
        <x:f>IF($D$17="Yes",IF(AND(CHOOSE($D$6,COUNT(O38),COUNT(O39),COUNT(O40))=1,CHOOSE($D$6,O38,O39,O40)&gt;=0),CHOOSE($D$6,O38,O39,O40),"Missing / invalid"),"Invalid controls")</x:f>
        <x:v>40</x:v>
      </x:c>
      <x:c r="P37" s="25" t="n">
        <x:f>IF($D$17="Yes",IF(AND(CHOOSE($D$6,COUNT(P38),COUNT(P39),COUNT(P40))=1,CHOOSE($D$6,P38,P39,P40)&gt;=0),CHOOSE($D$6,P38,P39,P40),"Missing / invalid"),"Invalid controls")</x:f>
        <x:v>40</x:v>
      </x:c>
      <x:c r="Q37" s="25" t="n">
        <x:f>IF($D$17="Yes",IF(AND(CHOOSE($D$6,COUNT(Q38),COUNT(Q39),COUNT(Q40))=1,CHOOSE($D$6,Q38,Q39,Q40)&gt;=0),CHOOSE($D$6,Q38,Q39,Q40),"Missing / invalid"),"Invalid controls")</x:f>
        <x:v>40</x:v>
      </x:c>
      <x:c r="R37" s="25" t="n">
        <x:f>IF($D$17="Yes",IF(AND(CHOOSE($D$6,COUNT(R38),COUNT(R39),COUNT(R40))=1,CHOOSE($D$6,R38,R39,R40)&gt;=0),CHOOSE($D$6,R38,R39,R40),"Missing / invalid"),"Invalid controls")</x:f>
        <x:v>40</x:v>
      </x:c>
      <x:c r="S37" s="25" t="n">
        <x:f>IF($D$17="Yes",IF(AND(CHOOSE($D$6,COUNT(S38),COUNT(S39),COUNT(S40))=1,CHOOSE($D$6,S38,S39,S40)&gt;=0),CHOOSE($D$6,S38,S39,S40),"Missing / invalid"),"Invalid controls")</x:f>
        <x:v>40</x:v>
      </x:c>
      <x:c r="T37" s="25" t="n">
        <x:f>IF($D$17="Yes",IF(AND(CHOOSE($D$6,COUNT(T38),COUNT(T39),COUNT(T40))=1,CHOOSE($D$6,T38,T39,T40)&gt;=0),CHOOSE($D$6,T38,T39,T40),"Missing / invalid"),"Invalid controls")</x:f>
        <x:v>40</x:v>
      </x:c>
      <x:c r="U37" s="25" t="n">
        <x:f>IF($D$17="Yes",IF(AND(CHOOSE($D$6,COUNT(U38),COUNT(U39),COUNT(U40))=1,CHOOSE($D$6,U38,U39,U40)&gt;=0),CHOOSE($D$6,U38,U39,U40),"Missing / invalid"),"Invalid controls")</x:f>
        <x:v>40</x:v>
      </x:c>
      <x:c r="V37" s="25" t="n">
        <x:f>IF($D$17="Yes",IF(AND(CHOOSE($D$6,COUNT(V38),COUNT(V39),COUNT(V40))=1,CHOOSE($D$6,V38,V39,V40)&gt;=0),CHOOSE($D$6,V38,V39,V40),"Missing / invalid"),"Invalid controls")</x:f>
        <x:v>40</x:v>
      </x:c>
      <x:c r="W37" s="25" t="n">
        <x:f>IF($D$17="Yes",IF(AND(CHOOSE($D$6,COUNT(W38),COUNT(W39),COUNT(W40))=1,CHOOSE($D$6,W38,W39,W40)&gt;=0),CHOOSE($D$6,W38,W39,W40),"Missing / invalid"),"Invalid controls")</x:f>
        <x:v>40</x:v>
      </x:c>
      <x:c r="X37" s="25" t="n">
        <x:f>IF($D$17="Yes",IF(AND(CHOOSE($D$6,COUNT(X38),COUNT(X39),COUNT(X40))=1,CHOOSE($D$6,X38,X39,X40)&gt;=0),CHOOSE($D$6,X38,X39,X40),"Missing / invalid"),"Invalid controls")</x:f>
        <x:v>40</x:v>
      </x:c>
      <x:c r="Y37" s="25" t="n">
        <x:f>IF($D$17="Yes",IF(AND(CHOOSE($D$6,COUNT(Y38),COUNT(Y39),COUNT(Y40))=1,CHOOSE($D$6,Y38,Y39,Y40)&gt;=0),CHOOSE($D$6,Y38,Y39,Y40),"Missing / invalid"),"Invalid controls")</x:f>
        <x:v>40</x:v>
      </x:c>
      <x:c r="Z37" s="25" t="n">
        <x:f>IF($D$17="Yes",IF(AND(CHOOSE($D$6,COUNT(Z38),COUNT(Z39),COUNT(Z40))=1,CHOOSE($D$6,Z38,Z39,Z40)&gt;=0),CHOOSE($D$6,Z38,Z39,Z40),"Missing / invalid"),"Invalid controls")</x:f>
        <x:v>40</x:v>
      </x:c>
      <x:c r="AA37" s="25" t="n">
        <x:f>IF($D$17="Yes",IF(AND(CHOOSE($D$6,COUNT(AA38),COUNT(AA39),COUNT(AA40))=1,CHOOSE($D$6,AA38,AA39,AA40)&gt;=0),CHOOSE($D$6,AA38,AA39,AA40),"Missing / invalid"),"Invalid controls")</x:f>
        <x:v>40</x:v>
      </x:c>
      <x:c r="AB37" s="25" t="n">
        <x:f>IF($D$17="Yes",IF(AND(CHOOSE($D$6,COUNT(AB38),COUNT(AB39),COUNT(AB40))=1,CHOOSE($D$6,AB38,AB39,AB40)&gt;=0),CHOOSE($D$6,AB38,AB39,AB40),"Missing / invalid"),"Invalid controls")</x:f>
        <x:v>40</x:v>
      </x:c>
    </x:row>
    <x:row r="38" ht="23" customHeight="1">
      <x:c r="A38" s="1"/>
      <x:c r="B38" s="1"/>
      <x:c r="C38" s="1" t="str">
        <x:v>Base</x:v>
      </x:c>
      <x:c r="D38" s="3"/>
      <x:c r="E38" s="27" t="n">
        <x:v>40</x:v>
      </x:c>
      <x:c r="F38" s="27" t="n">
        <x:v>40</x:v>
      </x:c>
      <x:c r="G38" s="27" t="n">
        <x:v>40</x:v>
      </x:c>
      <x:c r="H38" s="27" t="n">
        <x:v>40</x:v>
      </x:c>
      <x:c r="I38" s="27" t="n">
        <x:v>40</x:v>
      </x:c>
      <x:c r="J38" s="27" t="n">
        <x:v>40</x:v>
      </x:c>
      <x:c r="K38" s="27" t="n">
        <x:v>40</x:v>
      </x:c>
      <x:c r="L38" s="27" t="n">
        <x:v>40</x:v>
      </x:c>
      <x:c r="M38" s="27" t="n">
        <x:v>40</x:v>
      </x:c>
      <x:c r="N38" s="27" t="n">
        <x:v>40</x:v>
      </x:c>
      <x:c r="O38" s="27" t="n">
        <x:v>40</x:v>
      </x:c>
      <x:c r="P38" s="27" t="n">
        <x:v>40</x:v>
      </x:c>
      <x:c r="Q38" s="27" t="n">
        <x:v>40</x:v>
      </x:c>
      <x:c r="R38" s="27" t="n">
        <x:v>40</x:v>
      </x:c>
      <x:c r="S38" s="27" t="n">
        <x:v>40</x:v>
      </x:c>
      <x:c r="T38" s="27" t="n">
        <x:v>40</x:v>
      </x:c>
      <x:c r="U38" s="27" t="n">
        <x:v>40</x:v>
      </x:c>
      <x:c r="V38" s="27" t="n">
        <x:v>40</x:v>
      </x:c>
      <x:c r="W38" s="27" t="n">
        <x:v>40</x:v>
      </x:c>
      <x:c r="X38" s="27" t="n">
        <x:v>40</x:v>
      </x:c>
      <x:c r="Y38" s="27" t="n">
        <x:v>40</x:v>
      </x:c>
      <x:c r="Z38" s="27" t="n">
        <x:v>40</x:v>
      </x:c>
      <x:c r="AA38" s="27" t="n">
        <x:v>40</x:v>
      </x:c>
      <x:c r="AB38" s="27" t="n">
        <x:v>40</x:v>
      </x:c>
    </x:row>
    <x:row r="39" ht="23" customHeight="1">
      <x:c r="A39" s="1"/>
      <x:c r="B39" s="1"/>
      <x:c r="C39" s="1" t="str">
        <x:v>Downside</x:v>
      </x:c>
      <x:c r="D39" s="3"/>
      <x:c r="E39" s="27" t="n">
        <x:v>42</x:v>
      </x:c>
      <x:c r="F39" s="27" t="n">
        <x:v>42</x:v>
      </x:c>
      <x:c r="G39" s="27" t="n">
        <x:v>42</x:v>
      </x:c>
      <x:c r="H39" s="27" t="n">
        <x:v>42</x:v>
      </x:c>
      <x:c r="I39" s="27" t="n">
        <x:v>42</x:v>
      </x:c>
      <x:c r="J39" s="27" t="n">
        <x:v>42</x:v>
      </x:c>
      <x:c r="K39" s="27" t="n">
        <x:v>42</x:v>
      </x:c>
      <x:c r="L39" s="27" t="n">
        <x:v>42</x:v>
      </x:c>
      <x:c r="M39" s="27" t="n">
        <x:v>42</x:v>
      </x:c>
      <x:c r="N39" s="27" t="n">
        <x:v>42</x:v>
      </x:c>
      <x:c r="O39" s="27" t="n">
        <x:v>42</x:v>
      </x:c>
      <x:c r="P39" s="27" t="n">
        <x:v>42</x:v>
      </x:c>
      <x:c r="Q39" s="27" t="n">
        <x:v>42</x:v>
      </x:c>
      <x:c r="R39" s="27" t="n">
        <x:v>42</x:v>
      </x:c>
      <x:c r="S39" s="27" t="n">
        <x:v>42</x:v>
      </x:c>
      <x:c r="T39" s="27" t="n">
        <x:v>42</x:v>
      </x:c>
      <x:c r="U39" s="27" t="n">
        <x:v>42</x:v>
      </x:c>
      <x:c r="V39" s="27" t="n">
        <x:v>42</x:v>
      </x:c>
      <x:c r="W39" s="27" t="n">
        <x:v>42</x:v>
      </x:c>
      <x:c r="X39" s="27" t="n">
        <x:v>42</x:v>
      </x:c>
      <x:c r="Y39" s="27" t="n">
        <x:v>42</x:v>
      </x:c>
      <x:c r="Z39" s="27" t="n">
        <x:v>42</x:v>
      </x:c>
      <x:c r="AA39" s="27" t="n">
        <x:v>42</x:v>
      </x:c>
      <x:c r="AB39" s="27" t="n">
        <x:v>42</x:v>
      </x:c>
    </x:row>
    <x:row r="40" ht="23" customHeight="1">
      <x:c r="A40" s="1"/>
      <x:c r="B40" s="1"/>
      <x:c r="C40" s="1" t="str">
        <x:v>Upside</x:v>
      </x:c>
      <x:c r="D40" s="3"/>
      <x:c r="E40" s="27" t="n">
        <x:v>39</x:v>
      </x:c>
      <x:c r="F40" s="27" t="n">
        <x:v>39</x:v>
      </x:c>
      <x:c r="G40" s="27" t="n">
        <x:v>39</x:v>
      </x:c>
      <x:c r="H40" s="27" t="n">
        <x:v>39</x:v>
      </x:c>
      <x:c r="I40" s="27" t="n">
        <x:v>39</x:v>
      </x:c>
      <x:c r="J40" s="27" t="n">
        <x:v>39</x:v>
      </x:c>
      <x:c r="K40" s="27" t="n">
        <x:v>39</x:v>
      </x:c>
      <x:c r="L40" s="27" t="n">
        <x:v>39</x:v>
      </x:c>
      <x:c r="M40" s="27" t="n">
        <x:v>39</x:v>
      </x:c>
      <x:c r="N40" s="27" t="n">
        <x:v>39</x:v>
      </x:c>
      <x:c r="O40" s="27" t="n">
        <x:v>39</x:v>
      </x:c>
      <x:c r="P40" s="27" t="n">
        <x:v>39</x:v>
      </x:c>
      <x:c r="Q40" s="27" t="n">
        <x:v>39</x:v>
      </x:c>
      <x:c r="R40" s="27" t="n">
        <x:v>39</x:v>
      </x:c>
      <x:c r="S40" s="27" t="n">
        <x:v>39</x:v>
      </x:c>
      <x:c r="T40" s="27" t="n">
        <x:v>39</x:v>
      </x:c>
      <x:c r="U40" s="27" t="n">
        <x:v>39</x:v>
      </x:c>
      <x:c r="V40" s="27" t="n">
        <x:v>39</x:v>
      </x:c>
      <x:c r="W40" s="27" t="n">
        <x:v>39</x:v>
      </x:c>
      <x:c r="X40" s="27" t="n">
        <x:v>39</x:v>
      </x:c>
      <x:c r="Y40" s="27" t="n">
        <x:v>39</x:v>
      </x:c>
      <x:c r="Z40" s="27" t="n">
        <x:v>39</x:v>
      </x:c>
      <x:c r="AA40" s="27" t="n">
        <x:v>39</x:v>
      </x:c>
      <x:c r="AB40" s="27" t="n">
        <x:v>39</x:v>
      </x:c>
    </x:row>
    <x:row r="41" ht="23" customHeight="1">
      <x:c r="A41" s="1"/>
      <x:c r="B41" s="1"/>
      <x:c r="C41" s="1"/>
      <x:c r="D41" s="3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  <x:c r="AA41" s="4"/>
      <x:c r="AB41" s="4"/>
    </x:row>
    <x:row r="42" ht="23" customHeight="1">
      <x:c r="A42" s="1"/>
      <x:c r="B42" s="1"/>
      <x:c r="C42" s="23" t="str">
        <x:v>Fixed cash cost, USD/month — Active</x:v>
      </x:c>
      <x:c r="D42" s="24"/>
      <x:c r="E42" s="25" t="n">
        <x:f>IF($D$17="Yes",IF(AND(CHOOSE($D$6,COUNT(E43),COUNT(E44),COUNT(E45))=1,CHOOSE($D$6,E43,E44,E45)&gt;=0),CHOOSE($D$6,E43,E44,E45),"Missing / invalid"),"Invalid controls")</x:f>
        <x:v>3000</x:v>
      </x:c>
      <x:c r="F42" s="25" t="n">
        <x:f>IF($D$17="Yes",IF(AND(CHOOSE($D$6,COUNT(F43),COUNT(F44),COUNT(F45))=1,CHOOSE($D$6,F43,F44,F45)&gt;=0),CHOOSE($D$6,F43,F44,F45),"Missing / invalid"),"Invalid controls")</x:f>
        <x:v>3000</x:v>
      </x:c>
      <x:c r="G42" s="25" t="n">
        <x:f>IF($D$17="Yes",IF(AND(CHOOSE($D$6,COUNT(G43),COUNT(G44),COUNT(G45))=1,CHOOSE($D$6,G43,G44,G45)&gt;=0),CHOOSE($D$6,G43,G44,G45),"Missing / invalid"),"Invalid controls")</x:f>
        <x:v>3000</x:v>
      </x:c>
      <x:c r="H42" s="25" t="n">
        <x:f>IF($D$17="Yes",IF(AND(CHOOSE($D$6,COUNT(H43),COUNT(H44),COUNT(H45))=1,CHOOSE($D$6,H43,H44,H45)&gt;=0),CHOOSE($D$6,H43,H44,H45),"Missing / invalid"),"Invalid controls")</x:f>
        <x:v>3000</x:v>
      </x:c>
      <x:c r="I42" s="25" t="n">
        <x:f>IF($D$17="Yes",IF(AND(CHOOSE($D$6,COUNT(I43),COUNT(I44),COUNT(I45))=1,CHOOSE($D$6,I43,I44,I45)&gt;=0),CHOOSE($D$6,I43,I44,I45),"Missing / invalid"),"Invalid controls")</x:f>
        <x:v>3000</x:v>
      </x:c>
      <x:c r="J42" s="25" t="n">
        <x:f>IF($D$17="Yes",IF(AND(CHOOSE($D$6,COUNT(J43),COUNT(J44),COUNT(J45))=1,CHOOSE($D$6,J43,J44,J45)&gt;=0),CHOOSE($D$6,J43,J44,J45),"Missing / invalid"),"Invalid controls")</x:f>
        <x:v>3000</x:v>
      </x:c>
      <x:c r="K42" s="25" t="n">
        <x:f>IF($D$17="Yes",IF(AND(CHOOSE($D$6,COUNT(K43),COUNT(K44),COUNT(K45))=1,CHOOSE($D$6,K43,K44,K45)&gt;=0),CHOOSE($D$6,K43,K44,K45),"Missing / invalid"),"Invalid controls")</x:f>
        <x:v>3000</x:v>
      </x:c>
      <x:c r="L42" s="25" t="n">
        <x:f>IF($D$17="Yes",IF(AND(CHOOSE($D$6,COUNT(L43),COUNT(L44),COUNT(L45))=1,CHOOSE($D$6,L43,L44,L45)&gt;=0),CHOOSE($D$6,L43,L44,L45),"Missing / invalid"),"Invalid controls")</x:f>
        <x:v>3000</x:v>
      </x:c>
      <x:c r="M42" s="25" t="n">
        <x:f>IF($D$17="Yes",IF(AND(CHOOSE($D$6,COUNT(M43),COUNT(M44),COUNT(M45))=1,CHOOSE($D$6,M43,M44,M45)&gt;=0),CHOOSE($D$6,M43,M44,M45),"Missing / invalid"),"Invalid controls")</x:f>
        <x:v>3000</x:v>
      </x:c>
      <x:c r="N42" s="25" t="n">
        <x:f>IF($D$17="Yes",IF(AND(CHOOSE($D$6,COUNT(N43),COUNT(N44),COUNT(N45))=1,CHOOSE($D$6,N43,N44,N45)&gt;=0),CHOOSE($D$6,N43,N44,N45),"Missing / invalid"),"Invalid controls")</x:f>
        <x:v>3000</x:v>
      </x:c>
      <x:c r="O42" s="25" t="n">
        <x:f>IF($D$17="Yes",IF(AND(CHOOSE($D$6,COUNT(O43),COUNT(O44),COUNT(O45))=1,CHOOSE($D$6,O43,O44,O45)&gt;=0),CHOOSE($D$6,O43,O44,O45),"Missing / invalid"),"Invalid controls")</x:f>
        <x:v>3000</x:v>
      </x:c>
      <x:c r="P42" s="25" t="n">
        <x:f>IF($D$17="Yes",IF(AND(CHOOSE($D$6,COUNT(P43),COUNT(P44),COUNT(P45))=1,CHOOSE($D$6,P43,P44,P45)&gt;=0),CHOOSE($D$6,P43,P44,P45),"Missing / invalid"),"Invalid controls")</x:f>
        <x:v>3000</x:v>
      </x:c>
      <x:c r="Q42" s="25" t="n">
        <x:f>IF($D$17="Yes",IF(AND(CHOOSE($D$6,COUNT(Q43),COUNT(Q44),COUNT(Q45))=1,CHOOSE($D$6,Q43,Q44,Q45)&gt;=0),CHOOSE($D$6,Q43,Q44,Q45),"Missing / invalid"),"Invalid controls")</x:f>
        <x:v>3000</x:v>
      </x:c>
      <x:c r="R42" s="25" t="n">
        <x:f>IF($D$17="Yes",IF(AND(CHOOSE($D$6,COUNT(R43),COUNT(R44),COUNT(R45))=1,CHOOSE($D$6,R43,R44,R45)&gt;=0),CHOOSE($D$6,R43,R44,R45),"Missing / invalid"),"Invalid controls")</x:f>
        <x:v>3000</x:v>
      </x:c>
      <x:c r="S42" s="25" t="n">
        <x:f>IF($D$17="Yes",IF(AND(CHOOSE($D$6,COUNT(S43),COUNT(S44),COUNT(S45))=1,CHOOSE($D$6,S43,S44,S45)&gt;=0),CHOOSE($D$6,S43,S44,S45),"Missing / invalid"),"Invalid controls")</x:f>
        <x:v>3000</x:v>
      </x:c>
      <x:c r="T42" s="25" t="n">
        <x:f>IF($D$17="Yes",IF(AND(CHOOSE($D$6,COUNT(T43),COUNT(T44),COUNT(T45))=1,CHOOSE($D$6,T43,T44,T45)&gt;=0),CHOOSE($D$6,T43,T44,T45),"Missing / invalid"),"Invalid controls")</x:f>
        <x:v>3000</x:v>
      </x:c>
      <x:c r="U42" s="25" t="n">
        <x:f>IF($D$17="Yes",IF(AND(CHOOSE($D$6,COUNT(U43),COUNT(U44),COUNT(U45))=1,CHOOSE($D$6,U43,U44,U45)&gt;=0),CHOOSE($D$6,U43,U44,U45),"Missing / invalid"),"Invalid controls")</x:f>
        <x:v>3000</x:v>
      </x:c>
      <x:c r="V42" s="25" t="n">
        <x:f>IF($D$17="Yes",IF(AND(CHOOSE($D$6,COUNT(V43),COUNT(V44),COUNT(V45))=1,CHOOSE($D$6,V43,V44,V45)&gt;=0),CHOOSE($D$6,V43,V44,V45),"Missing / invalid"),"Invalid controls")</x:f>
        <x:v>3000</x:v>
      </x:c>
      <x:c r="W42" s="25" t="n">
        <x:f>IF($D$17="Yes",IF(AND(CHOOSE($D$6,COUNT(W43),COUNT(W44),COUNT(W45))=1,CHOOSE($D$6,W43,W44,W45)&gt;=0),CHOOSE($D$6,W43,W44,W45),"Missing / invalid"),"Invalid controls")</x:f>
        <x:v>3000</x:v>
      </x:c>
      <x:c r="X42" s="25" t="n">
        <x:f>IF($D$17="Yes",IF(AND(CHOOSE($D$6,COUNT(X43),COUNT(X44),COUNT(X45))=1,CHOOSE($D$6,X43,X44,X45)&gt;=0),CHOOSE($D$6,X43,X44,X45),"Missing / invalid"),"Invalid controls")</x:f>
        <x:v>3000</x:v>
      </x:c>
      <x:c r="Y42" s="25" t="n">
        <x:f>IF($D$17="Yes",IF(AND(CHOOSE($D$6,COUNT(Y43),COUNT(Y44),COUNT(Y45))=1,CHOOSE($D$6,Y43,Y44,Y45)&gt;=0),CHOOSE($D$6,Y43,Y44,Y45),"Missing / invalid"),"Invalid controls")</x:f>
        <x:v>3000</x:v>
      </x:c>
      <x:c r="Z42" s="25" t="n">
        <x:f>IF($D$17="Yes",IF(AND(CHOOSE($D$6,COUNT(Z43),COUNT(Z44),COUNT(Z45))=1,CHOOSE($D$6,Z43,Z44,Z45)&gt;=0),CHOOSE($D$6,Z43,Z44,Z45),"Missing / invalid"),"Invalid controls")</x:f>
        <x:v>3000</x:v>
      </x:c>
      <x:c r="AA42" s="25" t="n">
        <x:f>IF($D$17="Yes",IF(AND(CHOOSE($D$6,COUNT(AA43),COUNT(AA44),COUNT(AA45))=1,CHOOSE($D$6,AA43,AA44,AA45)&gt;=0),CHOOSE($D$6,AA43,AA44,AA45),"Missing / invalid"),"Invalid controls")</x:f>
        <x:v>3000</x:v>
      </x:c>
      <x:c r="AB42" s="25" t="n">
        <x:f>IF($D$17="Yes",IF(AND(CHOOSE($D$6,COUNT(AB43),COUNT(AB44),COUNT(AB45))=1,CHOOSE($D$6,AB43,AB44,AB45)&gt;=0),CHOOSE($D$6,AB43,AB44,AB45),"Missing / invalid"),"Invalid controls")</x:f>
        <x:v>3000</x:v>
      </x:c>
    </x:row>
    <x:row r="43" ht="23" customHeight="1">
      <x:c r="A43" s="1"/>
      <x:c r="B43" s="1"/>
      <x:c r="C43" s="1" t="str">
        <x:v>Base</x:v>
      </x:c>
      <x:c r="D43" s="3"/>
      <x:c r="E43" s="27" t="n">
        <x:v>3000</x:v>
      </x:c>
      <x:c r="F43" s="27" t="n">
        <x:v>3000</x:v>
      </x:c>
      <x:c r="G43" s="27" t="n">
        <x:v>3000</x:v>
      </x:c>
      <x:c r="H43" s="27" t="n">
        <x:v>3000</x:v>
      </x:c>
      <x:c r="I43" s="27" t="n">
        <x:v>3000</x:v>
      </x:c>
      <x:c r="J43" s="27" t="n">
        <x:v>3000</x:v>
      </x:c>
      <x:c r="K43" s="27" t="n">
        <x:v>3000</x:v>
      </x:c>
      <x:c r="L43" s="27" t="n">
        <x:v>3000</x:v>
      </x:c>
      <x:c r="M43" s="27" t="n">
        <x:v>3000</x:v>
      </x:c>
      <x:c r="N43" s="27" t="n">
        <x:v>3000</x:v>
      </x:c>
      <x:c r="O43" s="27" t="n">
        <x:v>3000</x:v>
      </x:c>
      <x:c r="P43" s="27" t="n">
        <x:v>3000</x:v>
      </x:c>
      <x:c r="Q43" s="27" t="n">
        <x:v>3000</x:v>
      </x:c>
      <x:c r="R43" s="27" t="n">
        <x:v>3000</x:v>
      </x:c>
      <x:c r="S43" s="27" t="n">
        <x:v>3000</x:v>
      </x:c>
      <x:c r="T43" s="27" t="n">
        <x:v>3000</x:v>
      </x:c>
      <x:c r="U43" s="27" t="n">
        <x:v>3000</x:v>
      </x:c>
      <x:c r="V43" s="27" t="n">
        <x:v>3000</x:v>
      </x:c>
      <x:c r="W43" s="27" t="n">
        <x:v>3000</x:v>
      </x:c>
      <x:c r="X43" s="27" t="n">
        <x:v>3000</x:v>
      </x:c>
      <x:c r="Y43" s="27" t="n">
        <x:v>3000</x:v>
      </x:c>
      <x:c r="Z43" s="27" t="n">
        <x:v>3000</x:v>
      </x:c>
      <x:c r="AA43" s="27" t="n">
        <x:v>3000</x:v>
      </x:c>
      <x:c r="AB43" s="27" t="n">
        <x:v>3000</x:v>
      </x:c>
    </x:row>
    <x:row r="44" ht="23" customHeight="1">
      <x:c r="A44" s="1"/>
      <x:c r="B44" s="1"/>
      <x:c r="C44" s="1" t="str">
        <x:v>Downside</x:v>
      </x:c>
      <x:c r="D44" s="3"/>
      <x:c r="E44" s="27" t="n">
        <x:v>3300</x:v>
      </x:c>
      <x:c r="F44" s="27" t="n">
        <x:v>3300</x:v>
      </x:c>
      <x:c r="G44" s="27" t="n">
        <x:v>3300</x:v>
      </x:c>
      <x:c r="H44" s="27" t="n">
        <x:v>3300</x:v>
      </x:c>
      <x:c r="I44" s="27" t="n">
        <x:v>3300</x:v>
      </x:c>
      <x:c r="J44" s="27" t="n">
        <x:v>3300</x:v>
      </x:c>
      <x:c r="K44" s="27" t="n">
        <x:v>3300</x:v>
      </x:c>
      <x:c r="L44" s="27" t="n">
        <x:v>3300</x:v>
      </x:c>
      <x:c r="M44" s="27" t="n">
        <x:v>3300</x:v>
      </x:c>
      <x:c r="N44" s="27" t="n">
        <x:v>3300</x:v>
      </x:c>
      <x:c r="O44" s="27" t="n">
        <x:v>3300</x:v>
      </x:c>
      <x:c r="P44" s="27" t="n">
        <x:v>3300</x:v>
      </x:c>
      <x:c r="Q44" s="27" t="n">
        <x:v>3300</x:v>
      </x:c>
      <x:c r="R44" s="27" t="n">
        <x:v>3300</x:v>
      </x:c>
      <x:c r="S44" s="27" t="n">
        <x:v>3300</x:v>
      </x:c>
      <x:c r="T44" s="27" t="n">
        <x:v>3300</x:v>
      </x:c>
      <x:c r="U44" s="27" t="n">
        <x:v>3300</x:v>
      </x:c>
      <x:c r="V44" s="27" t="n">
        <x:v>3300</x:v>
      </x:c>
      <x:c r="W44" s="27" t="n">
        <x:v>3300</x:v>
      </x:c>
      <x:c r="X44" s="27" t="n">
        <x:v>3300</x:v>
      </x:c>
      <x:c r="Y44" s="27" t="n">
        <x:v>3300</x:v>
      </x:c>
      <x:c r="Z44" s="27" t="n">
        <x:v>3300</x:v>
      </x:c>
      <x:c r="AA44" s="27" t="n">
        <x:v>3300</x:v>
      </x:c>
      <x:c r="AB44" s="27" t="n">
        <x:v>3300</x:v>
      </x:c>
    </x:row>
    <x:row r="45" ht="23" customHeight="1">
      <x:c r="A45" s="1"/>
      <x:c r="B45" s="1"/>
      <x:c r="C45" s="1" t="str">
        <x:v>Upside</x:v>
      </x:c>
      <x:c r="D45" s="3"/>
      <x:c r="E45" s="27" t="n">
        <x:v>3000</x:v>
      </x:c>
      <x:c r="F45" s="27" t="n">
        <x:v>3000</x:v>
      </x:c>
      <x:c r="G45" s="27" t="n">
        <x:v>3000</x:v>
      </x:c>
      <x:c r="H45" s="27" t="n">
        <x:v>3000</x:v>
      </x:c>
      <x:c r="I45" s="27" t="n">
        <x:v>3000</x:v>
      </x:c>
      <x:c r="J45" s="27" t="n">
        <x:v>3000</x:v>
      </x:c>
      <x:c r="K45" s="27" t="n">
        <x:v>3000</x:v>
      </x:c>
      <x:c r="L45" s="27" t="n">
        <x:v>3000</x:v>
      </x:c>
      <x:c r="M45" s="27" t="n">
        <x:v>3000</x:v>
      </x:c>
      <x:c r="N45" s="27" t="n">
        <x:v>3000</x:v>
      </x:c>
      <x:c r="O45" s="27" t="n">
        <x:v>3000</x:v>
      </x:c>
      <x:c r="P45" s="27" t="n">
        <x:v>3000</x:v>
      </x:c>
      <x:c r="Q45" s="27" t="n">
        <x:v>3000</x:v>
      </x:c>
      <x:c r="R45" s="27" t="n">
        <x:v>3000</x:v>
      </x:c>
      <x:c r="S45" s="27" t="n">
        <x:v>3000</x:v>
      </x:c>
      <x:c r="T45" s="27" t="n">
        <x:v>3000</x:v>
      </x:c>
      <x:c r="U45" s="27" t="n">
        <x:v>3000</x:v>
      </x:c>
      <x:c r="V45" s="27" t="n">
        <x:v>3000</x:v>
      </x:c>
      <x:c r="W45" s="27" t="n">
        <x:v>3000</x:v>
      </x:c>
      <x:c r="X45" s="27" t="n">
        <x:v>3000</x:v>
      </x:c>
      <x:c r="Y45" s="27" t="n">
        <x:v>3000</x:v>
      </x:c>
      <x:c r="Z45" s="27" t="n">
        <x:v>3000</x:v>
      </x:c>
      <x:c r="AA45" s="27" t="n">
        <x:v>3000</x:v>
      </x:c>
      <x:c r="AB45" s="27" t="n">
        <x:v>3000</x:v>
      </x:c>
    </x:row>
    <x:row r="46" ht="23" customHeight="1">
      <x:c r="A46" s="1"/>
      <x:c r="B46" s="1"/>
      <x:c r="C46" s="1"/>
      <x:c r="D46" s="3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  <x:c r="AA46" s="4"/>
      <x:c r="AB46" s="4"/>
    </x:row>
    <x:row r="47" ht="23" customHeight="1">
      <x:c r="A47" s="1"/>
      <x:c r="B47" s="1"/>
      <x:c r="C47" s="23" t="str">
        <x:v>Current-month collection share — Active</x:v>
      </x:c>
      <x:c r="D47" s="24"/>
      <x:c r="E47" s="29" t="n">
        <x:f>IF($D$17="Yes",IF(AND(CHOOSE($D$6,COUNT(E48),COUNT(E49),COUNT(E50))=1,CHOOSE($D$6,E48,E49,E50)&gt;=0,CHOOSE($D$6,E48,E49,E50)&lt;=1),CHOOSE($D$6,E48,E49,E50),"Missing / invalid"),"Invalid controls")</x:f>
        <x:v>0.75</x:v>
      </x:c>
      <x:c r="F47" s="29" t="n">
        <x:f>IF($D$17="Yes",IF(AND(CHOOSE($D$6,COUNT(F48),COUNT(F49),COUNT(F50))=1,CHOOSE($D$6,F48,F49,F50)&gt;=0,CHOOSE($D$6,F48,F49,F50)&lt;=1),CHOOSE($D$6,F48,F49,F50),"Missing / invalid"),"Invalid controls")</x:f>
        <x:v>0.75</x:v>
      </x:c>
      <x:c r="G47" s="29" t="n">
        <x:f>IF($D$17="Yes",IF(AND(CHOOSE($D$6,COUNT(G48),COUNT(G49),COUNT(G50))=1,CHOOSE($D$6,G48,G49,G50)&gt;=0,CHOOSE($D$6,G48,G49,G50)&lt;=1),CHOOSE($D$6,G48,G49,G50),"Missing / invalid"),"Invalid controls")</x:f>
        <x:v>0.75</x:v>
      </x:c>
      <x:c r="H47" s="29" t="n">
        <x:f>IF($D$17="Yes",IF(AND(CHOOSE($D$6,COUNT(H48),COUNT(H49),COUNT(H50))=1,CHOOSE($D$6,H48,H49,H50)&gt;=0,CHOOSE($D$6,H48,H49,H50)&lt;=1),CHOOSE($D$6,H48,H49,H50),"Missing / invalid"),"Invalid controls")</x:f>
        <x:v>0.75</x:v>
      </x:c>
      <x:c r="I47" s="29" t="n">
        <x:f>IF($D$17="Yes",IF(AND(CHOOSE($D$6,COUNT(I48),COUNT(I49),COUNT(I50))=1,CHOOSE($D$6,I48,I49,I50)&gt;=0,CHOOSE($D$6,I48,I49,I50)&lt;=1),CHOOSE($D$6,I48,I49,I50),"Missing / invalid"),"Invalid controls")</x:f>
        <x:v>0.75</x:v>
      </x:c>
      <x:c r="J47" s="29" t="n">
        <x:f>IF($D$17="Yes",IF(AND(CHOOSE($D$6,COUNT(J48),COUNT(J49),COUNT(J50))=1,CHOOSE($D$6,J48,J49,J50)&gt;=0,CHOOSE($D$6,J48,J49,J50)&lt;=1),CHOOSE($D$6,J48,J49,J50),"Missing / invalid"),"Invalid controls")</x:f>
        <x:v>0.75</x:v>
      </x:c>
      <x:c r="K47" s="29" t="n">
        <x:f>IF($D$17="Yes",IF(AND(CHOOSE($D$6,COUNT(K48),COUNT(K49),COUNT(K50))=1,CHOOSE($D$6,K48,K49,K50)&gt;=0,CHOOSE($D$6,K48,K49,K50)&lt;=1),CHOOSE($D$6,K48,K49,K50),"Missing / invalid"),"Invalid controls")</x:f>
        <x:v>0.75</x:v>
      </x:c>
      <x:c r="L47" s="29" t="n">
        <x:f>IF($D$17="Yes",IF(AND(CHOOSE($D$6,COUNT(L48),COUNT(L49),COUNT(L50))=1,CHOOSE($D$6,L48,L49,L50)&gt;=0,CHOOSE($D$6,L48,L49,L50)&lt;=1),CHOOSE($D$6,L48,L49,L50),"Missing / invalid"),"Invalid controls")</x:f>
        <x:v>0.75</x:v>
      </x:c>
      <x:c r="M47" s="29" t="n">
        <x:f>IF($D$17="Yes",IF(AND(CHOOSE($D$6,COUNT(M48),COUNT(M49),COUNT(M50))=1,CHOOSE($D$6,M48,M49,M50)&gt;=0,CHOOSE($D$6,M48,M49,M50)&lt;=1),CHOOSE($D$6,M48,M49,M50),"Missing / invalid"),"Invalid controls")</x:f>
        <x:v>0.75</x:v>
      </x:c>
      <x:c r="N47" s="29" t="n">
        <x:f>IF($D$17="Yes",IF(AND(CHOOSE($D$6,COUNT(N48),COUNT(N49),COUNT(N50))=1,CHOOSE($D$6,N48,N49,N50)&gt;=0,CHOOSE($D$6,N48,N49,N50)&lt;=1),CHOOSE($D$6,N48,N49,N50),"Missing / invalid"),"Invalid controls")</x:f>
        <x:v>0.75</x:v>
      </x:c>
      <x:c r="O47" s="29" t="n">
        <x:f>IF($D$17="Yes",IF(AND(CHOOSE($D$6,COUNT(O48),COUNT(O49),COUNT(O50))=1,CHOOSE($D$6,O48,O49,O50)&gt;=0,CHOOSE($D$6,O48,O49,O50)&lt;=1),CHOOSE($D$6,O48,O49,O50),"Missing / invalid"),"Invalid controls")</x:f>
        <x:v>0.75</x:v>
      </x:c>
      <x:c r="P47" s="29" t="n">
        <x:f>IF($D$17="Yes",IF(AND(CHOOSE($D$6,COUNT(P48),COUNT(P49),COUNT(P50))=1,CHOOSE($D$6,P48,P49,P50)&gt;=0,CHOOSE($D$6,P48,P49,P50)&lt;=1),CHOOSE($D$6,P48,P49,P50),"Missing / invalid"),"Invalid controls")</x:f>
        <x:v>0.75</x:v>
      </x:c>
      <x:c r="Q47" s="29" t="n">
        <x:f>IF($D$17="Yes",IF(AND(CHOOSE($D$6,COUNT(Q48),COUNT(Q49),COUNT(Q50))=1,CHOOSE($D$6,Q48,Q49,Q50)&gt;=0,CHOOSE($D$6,Q48,Q49,Q50)&lt;=1),CHOOSE($D$6,Q48,Q49,Q50),"Missing / invalid"),"Invalid controls")</x:f>
        <x:v>0.75</x:v>
      </x:c>
      <x:c r="R47" s="29" t="n">
        <x:f>IF($D$17="Yes",IF(AND(CHOOSE($D$6,COUNT(R48),COUNT(R49),COUNT(R50))=1,CHOOSE($D$6,R48,R49,R50)&gt;=0,CHOOSE($D$6,R48,R49,R50)&lt;=1),CHOOSE($D$6,R48,R49,R50),"Missing / invalid"),"Invalid controls")</x:f>
        <x:v>0.75</x:v>
      </x:c>
      <x:c r="S47" s="29" t="n">
        <x:f>IF($D$17="Yes",IF(AND(CHOOSE($D$6,COUNT(S48),COUNT(S49),COUNT(S50))=1,CHOOSE($D$6,S48,S49,S50)&gt;=0,CHOOSE($D$6,S48,S49,S50)&lt;=1),CHOOSE($D$6,S48,S49,S50),"Missing / invalid"),"Invalid controls")</x:f>
        <x:v>0.75</x:v>
      </x:c>
      <x:c r="T47" s="29" t="n">
        <x:f>IF($D$17="Yes",IF(AND(CHOOSE($D$6,COUNT(T48),COUNT(T49),COUNT(T50))=1,CHOOSE($D$6,T48,T49,T50)&gt;=0,CHOOSE($D$6,T48,T49,T50)&lt;=1),CHOOSE($D$6,T48,T49,T50),"Missing / invalid"),"Invalid controls")</x:f>
        <x:v>0.75</x:v>
      </x:c>
      <x:c r="U47" s="29" t="n">
        <x:f>IF($D$17="Yes",IF(AND(CHOOSE($D$6,COUNT(U48),COUNT(U49),COUNT(U50))=1,CHOOSE($D$6,U48,U49,U50)&gt;=0,CHOOSE($D$6,U48,U49,U50)&lt;=1),CHOOSE($D$6,U48,U49,U50),"Missing / invalid"),"Invalid controls")</x:f>
        <x:v>0.75</x:v>
      </x:c>
      <x:c r="V47" s="29" t="n">
        <x:f>IF($D$17="Yes",IF(AND(CHOOSE($D$6,COUNT(V48),COUNT(V49),COUNT(V50))=1,CHOOSE($D$6,V48,V49,V50)&gt;=0,CHOOSE($D$6,V48,V49,V50)&lt;=1),CHOOSE($D$6,V48,V49,V50),"Missing / invalid"),"Invalid controls")</x:f>
        <x:v>0.75</x:v>
      </x:c>
      <x:c r="W47" s="29" t="n">
        <x:f>IF($D$17="Yes",IF(AND(CHOOSE($D$6,COUNT(W48),COUNT(W49),COUNT(W50))=1,CHOOSE($D$6,W48,W49,W50)&gt;=0,CHOOSE($D$6,W48,W49,W50)&lt;=1),CHOOSE($D$6,W48,W49,W50),"Missing / invalid"),"Invalid controls")</x:f>
        <x:v>0.75</x:v>
      </x:c>
      <x:c r="X47" s="29" t="n">
        <x:f>IF($D$17="Yes",IF(AND(CHOOSE($D$6,COUNT(X48),COUNT(X49),COUNT(X50))=1,CHOOSE($D$6,X48,X49,X50)&gt;=0,CHOOSE($D$6,X48,X49,X50)&lt;=1),CHOOSE($D$6,X48,X49,X50),"Missing / invalid"),"Invalid controls")</x:f>
        <x:v>0.75</x:v>
      </x:c>
      <x:c r="Y47" s="29" t="n">
        <x:f>IF($D$17="Yes",IF(AND(CHOOSE($D$6,COUNT(Y48),COUNT(Y49),COUNT(Y50))=1,CHOOSE($D$6,Y48,Y49,Y50)&gt;=0,CHOOSE($D$6,Y48,Y49,Y50)&lt;=1),CHOOSE($D$6,Y48,Y49,Y50),"Missing / invalid"),"Invalid controls")</x:f>
        <x:v>0.75</x:v>
      </x:c>
      <x:c r="Z47" s="29" t="n">
        <x:f>IF($D$17="Yes",IF(AND(CHOOSE($D$6,COUNT(Z48),COUNT(Z49),COUNT(Z50))=1,CHOOSE($D$6,Z48,Z49,Z50)&gt;=0,CHOOSE($D$6,Z48,Z49,Z50)&lt;=1),CHOOSE($D$6,Z48,Z49,Z50),"Missing / invalid"),"Invalid controls")</x:f>
        <x:v>0.75</x:v>
      </x:c>
      <x:c r="AA47" s="29" t="n">
        <x:f>IF($D$17="Yes",IF(AND(CHOOSE($D$6,COUNT(AA48),COUNT(AA49),COUNT(AA50))=1,CHOOSE($D$6,AA48,AA49,AA50)&gt;=0,CHOOSE($D$6,AA48,AA49,AA50)&lt;=1),CHOOSE($D$6,AA48,AA49,AA50),"Missing / invalid"),"Invalid controls")</x:f>
        <x:v>0.75</x:v>
      </x:c>
      <x:c r="AB47" s="29" t="n">
        <x:f>IF($D$17="Yes",IF(AND(CHOOSE($D$6,COUNT(AB48),COUNT(AB49),COUNT(AB50))=1,CHOOSE($D$6,AB48,AB49,AB50)&gt;=0,CHOOSE($D$6,AB48,AB49,AB50)&lt;=1),CHOOSE($D$6,AB48,AB49,AB50),"Missing / invalid"),"Invalid controls")</x:f>
        <x:v>0.75</x:v>
      </x:c>
    </x:row>
    <x:row r="48" ht="23" customHeight="1">
      <x:c r="A48" s="1"/>
      <x:c r="B48" s="1"/>
      <x:c r="C48" s="1" t="str">
        <x:v>Base</x:v>
      </x:c>
      <x:c r="D48" s="3"/>
      <x:c r="E48" s="30" t="n">
        <x:v>0.75</x:v>
      </x:c>
      <x:c r="F48" s="30" t="n">
        <x:v>0.75</x:v>
      </x:c>
      <x:c r="G48" s="30" t="n">
        <x:v>0.75</x:v>
      </x:c>
      <x:c r="H48" s="30" t="n">
        <x:v>0.75</x:v>
      </x:c>
      <x:c r="I48" s="30" t="n">
        <x:v>0.75</x:v>
      </x:c>
      <x:c r="J48" s="30" t="n">
        <x:v>0.75</x:v>
      </x:c>
      <x:c r="K48" s="30" t="n">
        <x:v>0.75</x:v>
      </x:c>
      <x:c r="L48" s="30" t="n">
        <x:v>0.75</x:v>
      </x:c>
      <x:c r="M48" s="30" t="n">
        <x:v>0.75</x:v>
      </x:c>
      <x:c r="N48" s="30" t="n">
        <x:v>0.75</x:v>
      </x:c>
      <x:c r="O48" s="30" t="n">
        <x:v>0.75</x:v>
      </x:c>
      <x:c r="P48" s="30" t="n">
        <x:v>0.75</x:v>
      </x:c>
      <x:c r="Q48" s="30" t="n">
        <x:v>0.75</x:v>
      </x:c>
      <x:c r="R48" s="30" t="n">
        <x:v>0.75</x:v>
      </x:c>
      <x:c r="S48" s="30" t="n">
        <x:v>0.75</x:v>
      </x:c>
      <x:c r="T48" s="30" t="n">
        <x:v>0.75</x:v>
      </x:c>
      <x:c r="U48" s="30" t="n">
        <x:v>0.75</x:v>
      </x:c>
      <x:c r="V48" s="30" t="n">
        <x:v>0.75</x:v>
      </x:c>
      <x:c r="W48" s="30" t="n">
        <x:v>0.75</x:v>
      </x:c>
      <x:c r="X48" s="30" t="n">
        <x:v>0.75</x:v>
      </x:c>
      <x:c r="Y48" s="30" t="n">
        <x:v>0.75</x:v>
      </x:c>
      <x:c r="Z48" s="30" t="n">
        <x:v>0.75</x:v>
      </x:c>
      <x:c r="AA48" s="30" t="n">
        <x:v>0.75</x:v>
      </x:c>
      <x:c r="AB48" s="30" t="n">
        <x:v>0.75</x:v>
      </x:c>
    </x:row>
    <x:row r="49" ht="23" customHeight="1">
      <x:c r="A49" s="1"/>
      <x:c r="B49" s="1"/>
      <x:c r="C49" s="1" t="str">
        <x:v>Downside</x:v>
      </x:c>
      <x:c r="D49" s="3"/>
      <x:c r="E49" s="30" t="n">
        <x:v>0.6</x:v>
      </x:c>
      <x:c r="F49" s="30" t="n">
        <x:v>0.6</x:v>
      </x:c>
      <x:c r="G49" s="30" t="n">
        <x:v>0.6</x:v>
      </x:c>
      <x:c r="H49" s="30" t="n">
        <x:v>0.6</x:v>
      </x:c>
      <x:c r="I49" s="30" t="n">
        <x:v>0.6</x:v>
      </x:c>
      <x:c r="J49" s="30" t="n">
        <x:v>0.6</x:v>
      </x:c>
      <x:c r="K49" s="30" t="n">
        <x:v>0.6</x:v>
      </x:c>
      <x:c r="L49" s="30" t="n">
        <x:v>0.6</x:v>
      </x:c>
      <x:c r="M49" s="30" t="n">
        <x:v>0.6</x:v>
      </x:c>
      <x:c r="N49" s="30" t="n">
        <x:v>0.6</x:v>
      </x:c>
      <x:c r="O49" s="30" t="n">
        <x:v>0.6</x:v>
      </x:c>
      <x:c r="P49" s="30" t="n">
        <x:v>0.6</x:v>
      </x:c>
      <x:c r="Q49" s="30" t="n">
        <x:v>0.6</x:v>
      </x:c>
      <x:c r="R49" s="30" t="n">
        <x:v>0.6</x:v>
      </x:c>
      <x:c r="S49" s="30" t="n">
        <x:v>0.6</x:v>
      </x:c>
      <x:c r="T49" s="30" t="n">
        <x:v>0.6</x:v>
      </x:c>
      <x:c r="U49" s="30" t="n">
        <x:v>0.6</x:v>
      </x:c>
      <x:c r="V49" s="30" t="n">
        <x:v>0.6</x:v>
      </x:c>
      <x:c r="W49" s="30" t="n">
        <x:v>0.6</x:v>
      </x:c>
      <x:c r="X49" s="30" t="n">
        <x:v>0.6</x:v>
      </x:c>
      <x:c r="Y49" s="30" t="n">
        <x:v>0.6</x:v>
      </x:c>
      <x:c r="Z49" s="30" t="n">
        <x:v>0.6</x:v>
      </x:c>
      <x:c r="AA49" s="30" t="n">
        <x:v>0.6</x:v>
      </x:c>
      <x:c r="AB49" s="30" t="n">
        <x:v>0.6</x:v>
      </x:c>
    </x:row>
    <x:row r="50" ht="23" customHeight="1">
      <x:c r="A50" s="1"/>
      <x:c r="B50" s="1"/>
      <x:c r="C50" s="1" t="str">
        <x:v>Upside</x:v>
      </x:c>
      <x:c r="D50" s="3"/>
      <x:c r="E50" s="30" t="n">
        <x:v>0.85</x:v>
      </x:c>
      <x:c r="F50" s="30" t="n">
        <x:v>0.85</x:v>
      </x:c>
      <x:c r="G50" s="30" t="n">
        <x:v>0.85</x:v>
      </x:c>
      <x:c r="H50" s="30" t="n">
        <x:v>0.85</x:v>
      </x:c>
      <x:c r="I50" s="30" t="n">
        <x:v>0.85</x:v>
      </x:c>
      <x:c r="J50" s="30" t="n">
        <x:v>0.85</x:v>
      </x:c>
      <x:c r="K50" s="30" t="n">
        <x:v>0.85</x:v>
      </x:c>
      <x:c r="L50" s="30" t="n">
        <x:v>0.85</x:v>
      </x:c>
      <x:c r="M50" s="30" t="n">
        <x:v>0.85</x:v>
      </x:c>
      <x:c r="N50" s="30" t="n">
        <x:v>0.85</x:v>
      </x:c>
      <x:c r="O50" s="30" t="n">
        <x:v>0.85</x:v>
      </x:c>
      <x:c r="P50" s="30" t="n">
        <x:v>0.85</x:v>
      </x:c>
      <x:c r="Q50" s="30" t="n">
        <x:v>0.85</x:v>
      </x:c>
      <x:c r="R50" s="30" t="n">
        <x:v>0.85</x:v>
      </x:c>
      <x:c r="S50" s="30" t="n">
        <x:v>0.85</x:v>
      </x:c>
      <x:c r="T50" s="30" t="n">
        <x:v>0.85</x:v>
      </x:c>
      <x:c r="U50" s="30" t="n">
        <x:v>0.85</x:v>
      </x:c>
      <x:c r="V50" s="30" t="n">
        <x:v>0.85</x:v>
      </x:c>
      <x:c r="W50" s="30" t="n">
        <x:v>0.85</x:v>
      </x:c>
      <x:c r="X50" s="30" t="n">
        <x:v>0.85</x:v>
      </x:c>
      <x:c r="Y50" s="30" t="n">
        <x:v>0.85</x:v>
      </x:c>
      <x:c r="Z50" s="30" t="n">
        <x:v>0.85</x:v>
      </x:c>
      <x:c r="AA50" s="30" t="n">
        <x:v>0.85</x:v>
      </x:c>
      <x:c r="AB50" s="30" t="n">
        <x:v>0.85</x:v>
      </x:c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</x:row>
  </x:sheetData>
  <x:dataValidations count="3">
    <x:dataValidation type="list" sqref="D6">
      <x:formula1>"1,2,3"</x:formula1>
    </x:dataValidation>
    <x:dataValidation type="list" sqref="D8">
      <x:formula1>"0,1"</x:formula1>
    </x:dataValidation>
    <x:dataValidation type="whole" operator="between" sqref="D7">
      <x:formula1>1</x:formula1>
      <x:formula2>24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</x:row>
    <x:row r="2" ht="23" customHeight="1">
      <x:c r="A2" s="1"/>
      <x:c r="B2" s="1"/>
      <x:c r="C2" s="6" t="str">
        <x:v>Operations</x:v>
      </x:c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</x:row>
    <x:row r="3" ht="23" customHeight="1">
      <x:c r="A3" s="1"/>
      <x:c r="B3" s="1"/>
      <x:c r="C3" s="1" t="str">
        <x:v>Case selected</x:v>
      </x:c>
      <x:c r="D3" s="8" t="str">
        <x:f>IF(AND(COUNT('Assumptions'!D6)=1,'Assumptions'!D6=INT('Assumptions'!D6),'Assumptions'!D6&gt;=1,'Assumptions'!D6&lt;=3),CHOOSE('Assumptions'!D6,"Base","Downside","Upside"),"Invalid case")</x:f>
        <x:v>Base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</x:row>
    <x:row r="6" ht="23" customHeight="1">
      <x:c r="A6" s="1"/>
      <x:c r="B6" s="1"/>
      <x:c r="C6" s="1" t="str">
        <x:v>Period index</x:v>
      </x:c>
      <x:c r="D6" s="3"/>
      <x:c r="E6" s="36" t="n">
        <x:f>'Assumptions'!E17</x:f>
        <x:v>1</x:v>
      </x:c>
      <x:c r="F6" s="36" t="n">
        <x:f>'Assumptions'!F17</x:f>
        <x:v>2</x:v>
      </x:c>
      <x:c r="G6" s="36" t="n">
        <x:f>'Assumptions'!G17</x:f>
        <x:v>3</x:v>
      </x:c>
      <x:c r="H6" s="36" t="n">
        <x:f>'Assumptions'!H17</x:f>
        <x:v>4</x:v>
      </x:c>
      <x:c r="I6" s="36" t="n">
        <x:f>'Assumptions'!I17</x:f>
        <x:v>5</x:v>
      </x:c>
      <x:c r="J6" s="36" t="n">
        <x:f>'Assumptions'!J17</x:f>
        <x:v>6</x:v>
      </x:c>
      <x:c r="K6" s="36" t="n">
        <x:f>'Assumptions'!K17</x:f>
        <x:v>7</x:v>
      </x:c>
      <x:c r="L6" s="36" t="n">
        <x:f>'Assumptions'!L17</x:f>
        <x:v>8</x:v>
      </x:c>
      <x:c r="M6" s="36" t="n">
        <x:f>'Assumptions'!M17</x:f>
        <x:v>9</x:v>
      </x:c>
      <x:c r="N6" s="36" t="n">
        <x:f>'Assumptions'!N17</x:f>
        <x:v>10</x:v>
      </x:c>
      <x:c r="O6" s="36" t="n">
        <x:f>'Assumptions'!O17</x:f>
        <x:v>11</x:v>
      </x:c>
      <x:c r="P6" s="36" t="n">
        <x:f>'Assumptions'!P17</x:f>
        <x:v>12</x:v>
      </x:c>
      <x:c r="Q6" s="36" t="n">
        <x:f>'Assumptions'!Q17</x:f>
        <x:v>13</x:v>
      </x:c>
      <x:c r="R6" s="36" t="n">
        <x:f>'Assumptions'!R17</x:f>
        <x:v>14</x:v>
      </x:c>
      <x:c r="S6" s="36" t="n">
        <x:f>'Assumptions'!S17</x:f>
        <x:v>15</x:v>
      </x:c>
      <x:c r="T6" s="36" t="n">
        <x:f>'Assumptions'!T17</x:f>
        <x:v>16</x:v>
      </x:c>
      <x:c r="U6" s="36" t="n">
        <x:f>'Assumptions'!U17</x:f>
        <x:v>17</x:v>
      </x:c>
      <x:c r="V6" s="36" t="n">
        <x:f>'Assumptions'!V17</x:f>
        <x:v>18</x:v>
      </x:c>
      <x:c r="W6" s="36" t="n">
        <x:f>'Assumptions'!W17</x:f>
        <x:v>19</x:v>
      </x:c>
      <x:c r="X6" s="36" t="n">
        <x:f>'Assumptions'!X17</x:f>
        <x:v>20</x:v>
      </x:c>
      <x:c r="Y6" s="36" t="n">
        <x:f>'Assumptions'!Y17</x:f>
        <x:v>21</x:v>
      </x:c>
      <x:c r="Z6" s="36" t="n">
        <x:f>'Assumptions'!Z17</x:f>
        <x:v>22</x:v>
      </x:c>
      <x:c r="AA6" s="36" t="n">
        <x:f>'Assumptions'!AA17</x:f>
        <x:v>23</x:v>
      </x:c>
      <x:c r="AB6" s="36" t="n">
        <x:f>'Assumptions'!AB17</x:f>
        <x:v>24</x:v>
      </x:c>
    </x:row>
    <x:row r="7" ht="23" customHeight="1">
      <x:c r="A7" s="1"/>
      <x:c r="B7" s="1"/>
      <x:c r="C7" s="23" t="str">
        <x:v>Forecast month</x:v>
      </x:c>
      <x:c r="D7" s="24"/>
      <x:c r="E7" s="34" t="n">
        <x:f>'Assumptions'!E18</x:f>
        <x:v>46388</x:v>
      </x:c>
      <x:c r="F7" s="34" t="n">
        <x:f>'Assumptions'!F18</x:f>
        <x:v>46419</x:v>
      </x:c>
      <x:c r="G7" s="34" t="n">
        <x:f>'Assumptions'!G18</x:f>
        <x:v>46447</x:v>
      </x:c>
      <x:c r="H7" s="34" t="n">
        <x:f>'Assumptions'!H18</x:f>
        <x:v>46478</x:v>
      </x:c>
      <x:c r="I7" s="34" t="n">
        <x:f>'Assumptions'!I18</x:f>
        <x:v>46508</x:v>
      </x:c>
      <x:c r="J7" s="34" t="n">
        <x:f>'Assumptions'!J18</x:f>
        <x:v>46539</x:v>
      </x:c>
      <x:c r="K7" s="34" t="n">
        <x:f>'Assumptions'!K18</x:f>
        <x:v>46569</x:v>
      </x:c>
      <x:c r="L7" s="34" t="n">
        <x:f>'Assumptions'!L18</x:f>
        <x:v>46600</x:v>
      </x:c>
      <x:c r="M7" s="34" t="n">
        <x:f>'Assumptions'!M18</x:f>
        <x:v>46631</x:v>
      </x:c>
      <x:c r="N7" s="34" t="n">
        <x:f>'Assumptions'!N18</x:f>
        <x:v>46661</x:v>
      </x:c>
      <x:c r="O7" s="34" t="n">
        <x:f>'Assumptions'!O18</x:f>
        <x:v>46692</x:v>
      </x:c>
      <x:c r="P7" s="34" t="n">
        <x:f>'Assumptions'!P18</x:f>
        <x:v>46722</x:v>
      </x:c>
      <x:c r="Q7" s="34" t="n">
        <x:f>'Assumptions'!Q18</x:f>
        <x:v>46753</x:v>
      </x:c>
      <x:c r="R7" s="34" t="n">
        <x:f>'Assumptions'!R18</x:f>
        <x:v>46784</x:v>
      </x:c>
      <x:c r="S7" s="34" t="n">
        <x:f>'Assumptions'!S18</x:f>
        <x:v>46813</x:v>
      </x:c>
      <x:c r="T7" s="34" t="n">
        <x:f>'Assumptions'!T18</x:f>
        <x:v>46844</x:v>
      </x:c>
      <x:c r="U7" s="34" t="n">
        <x:f>'Assumptions'!U18</x:f>
        <x:v>46874</x:v>
      </x:c>
      <x:c r="V7" s="34" t="n">
        <x:f>'Assumptions'!V18</x:f>
        <x:v>46905</x:v>
      </x:c>
      <x:c r="W7" s="34" t="n">
        <x:f>'Assumptions'!W18</x:f>
        <x:v>46935</x:v>
      </x:c>
      <x:c r="X7" s="34" t="n">
        <x:f>'Assumptions'!X18</x:f>
        <x:v>46966</x:v>
      </x:c>
      <x:c r="Y7" s="34" t="n">
        <x:f>'Assumptions'!Y18</x:f>
        <x:v>46997</x:v>
      </x:c>
      <x:c r="Z7" s="34" t="n">
        <x:f>'Assumptions'!Z18</x:f>
        <x:v>47027</x:v>
      </x:c>
      <x:c r="AA7" s="34" t="n">
        <x:f>'Assumptions'!AA18</x:f>
        <x:v>47058</x:v>
      </x:c>
      <x:c r="AB7" s="34" t="n">
        <x:f>'Assumptions'!AB18</x:f>
        <x:v>47088</x:v>
      </x:c>
    </x:row>
    <x:row r="8" ht="23" customHeight="1">
      <x:c r="A8" s="1"/>
      <x:c r="B8" s="1"/>
      <x:c r="C8" s="1" t="str">
        <x:v>Active period</x:v>
      </x:c>
      <x:c r="D8" s="3"/>
      <x:c r="E8" s="36" t="n">
        <x:f>'Assumptions'!E19</x:f>
        <x:v>1</x:v>
      </x:c>
      <x:c r="F8" s="36" t="n">
        <x:f>'Assumptions'!F19</x:f>
        <x:v>1</x:v>
      </x:c>
      <x:c r="G8" s="36" t="n">
        <x:f>'Assumptions'!G19</x:f>
        <x:v>1</x:v>
      </x:c>
      <x:c r="H8" s="36" t="n">
        <x:f>'Assumptions'!H19</x:f>
        <x:v>1</x:v>
      </x:c>
      <x:c r="I8" s="36" t="n">
        <x:f>'Assumptions'!I19</x:f>
        <x:v>1</x:v>
      </x:c>
      <x:c r="J8" s="36" t="n">
        <x:f>'Assumptions'!J19</x:f>
        <x:v>1</x:v>
      </x:c>
      <x:c r="K8" s="36" t="n">
        <x:f>'Assumptions'!K19</x:f>
        <x:v>1</x:v>
      </x:c>
      <x:c r="L8" s="36" t="n">
        <x:f>'Assumptions'!L19</x:f>
        <x:v>1</x:v>
      </x:c>
      <x:c r="M8" s="36" t="n">
        <x:f>'Assumptions'!M19</x:f>
        <x:v>1</x:v>
      </x:c>
      <x:c r="N8" s="36" t="n">
        <x:f>'Assumptions'!N19</x:f>
        <x:v>1</x:v>
      </x:c>
      <x:c r="O8" s="36" t="n">
        <x:f>'Assumptions'!O19</x:f>
        <x:v>1</x:v>
      </x:c>
      <x:c r="P8" s="36" t="n">
        <x:f>'Assumptions'!P19</x:f>
        <x:v>1</x:v>
      </x:c>
      <x:c r="Q8" s="36" t="n">
        <x:f>'Assumptions'!Q19</x:f>
        <x:v>0</x:v>
      </x:c>
      <x:c r="R8" s="36" t="n">
        <x:f>'Assumptions'!R19</x:f>
        <x:v>0</x:v>
      </x:c>
      <x:c r="S8" s="36" t="n">
        <x:f>'Assumptions'!S19</x:f>
        <x:v>0</x:v>
      </x:c>
      <x:c r="T8" s="36" t="n">
        <x:f>'Assumptions'!T19</x:f>
        <x:v>0</x:v>
      </x:c>
      <x:c r="U8" s="36" t="n">
        <x:f>'Assumptions'!U19</x:f>
        <x:v>0</x:v>
      </x:c>
      <x:c r="V8" s="36" t="n">
        <x:f>'Assumptions'!V19</x:f>
        <x:v>0</x:v>
      </x:c>
      <x:c r="W8" s="36" t="n">
        <x:f>'Assumptions'!W19</x:f>
        <x:v>0</x:v>
      </x:c>
      <x:c r="X8" s="36" t="n">
        <x:f>'Assumptions'!X19</x:f>
        <x:v>0</x:v>
      </x:c>
      <x:c r="Y8" s="36" t="n">
        <x:f>'Assumptions'!Y19</x:f>
        <x:v>0</x:v>
      </x:c>
      <x:c r="Z8" s="36" t="n">
        <x:f>'Assumptions'!Z19</x:f>
        <x:v>0</x:v>
      </x:c>
      <x:c r="AA8" s="36" t="n">
        <x:f>'Assumptions'!AA19</x:f>
        <x:v>0</x:v>
      </x:c>
      <x:c r="AB8" s="36" t="n">
        <x:f>'Assumptions'!AB19</x:f>
        <x:v>0</x:v>
      </x:c>
    </x:row>
    <x:row r="9" ht="23" customHeight="1">
      <x:c r="A9" s="1"/>
      <x:c r="B9" s="1"/>
      <x:c r="C9" s="1"/>
      <x:c r="D9" s="3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  <x:c r="AA9" s="4"/>
      <x:c r="AB9" s="4"/>
    </x:row>
    <x:row r="10" ht="23" customHeight="1">
      <x:c r="A10" s="1"/>
      <x:c r="B10" s="1"/>
      <x:c r="C10" s="1" t="str">
        <x:v>Launch switch</x:v>
      </x:c>
      <x:c r="D10" s="3"/>
      <x:c r="E10" s="35" t="n">
        <x:f>IF(E$8=0,"",IF(AND(E$8=1,COUNT('Assumptions'!$D$8)=1),'Assumptions'!$D$8,"Unavailable"))</x:f>
        <x:v>1</x:v>
      </x:c>
      <x:c r="F10" s="35" t="n">
        <x:f>IF(F$8=0,"",IF(AND(F$8=1,COUNT('Assumptions'!$D$8)=1),'Assumptions'!$D$8,"Unavailable"))</x:f>
        <x:v>1</x:v>
      </x:c>
      <x:c r="G10" s="35" t="n">
        <x:f>IF(G$8=0,"",IF(AND(G$8=1,COUNT('Assumptions'!$D$8)=1),'Assumptions'!$D$8,"Unavailable"))</x:f>
        <x:v>1</x:v>
      </x:c>
      <x:c r="H10" s="35" t="n">
        <x:f>IF(H$8=0,"",IF(AND(H$8=1,COUNT('Assumptions'!$D$8)=1),'Assumptions'!$D$8,"Unavailable"))</x:f>
        <x:v>1</x:v>
      </x:c>
      <x:c r="I10" s="35" t="n">
        <x:f>IF(I$8=0,"",IF(AND(I$8=1,COUNT('Assumptions'!$D$8)=1),'Assumptions'!$D$8,"Unavailable"))</x:f>
        <x:v>1</x:v>
      </x:c>
      <x:c r="J10" s="35" t="n">
        <x:f>IF(J$8=0,"",IF(AND(J$8=1,COUNT('Assumptions'!$D$8)=1),'Assumptions'!$D$8,"Unavailable"))</x:f>
        <x:v>1</x:v>
      </x:c>
      <x:c r="K10" s="35" t="n">
        <x:f>IF(K$8=0,"",IF(AND(K$8=1,COUNT('Assumptions'!$D$8)=1),'Assumptions'!$D$8,"Unavailable"))</x:f>
        <x:v>1</x:v>
      </x:c>
      <x:c r="L10" s="35" t="n">
        <x:f>IF(L$8=0,"",IF(AND(L$8=1,COUNT('Assumptions'!$D$8)=1),'Assumptions'!$D$8,"Unavailable"))</x:f>
        <x:v>1</x:v>
      </x:c>
      <x:c r="M10" s="35" t="n">
        <x:f>IF(M$8=0,"",IF(AND(M$8=1,COUNT('Assumptions'!$D$8)=1),'Assumptions'!$D$8,"Unavailable"))</x:f>
        <x:v>1</x:v>
      </x:c>
      <x:c r="N10" s="35" t="n">
        <x:f>IF(N$8=0,"",IF(AND(N$8=1,COUNT('Assumptions'!$D$8)=1),'Assumptions'!$D$8,"Unavailable"))</x:f>
        <x:v>1</x:v>
      </x:c>
      <x:c r="O10" s="35" t="n">
        <x:f>IF(O$8=0,"",IF(AND(O$8=1,COUNT('Assumptions'!$D$8)=1),'Assumptions'!$D$8,"Unavailable"))</x:f>
        <x:v>1</x:v>
      </x:c>
      <x:c r="P10" s="35" t="n">
        <x:f>IF(P$8=0,"",IF(AND(P$8=1,COUNT('Assumptions'!$D$8)=1),'Assumptions'!$D$8,"Unavailable"))</x:f>
        <x:v>1</x:v>
      </x:c>
      <x:c r="Q10" s="35" t="str">
        <x:f>IF(Q$8=0,"",IF(AND(Q$8=1,COUNT('Assumptions'!$D$8)=1),'Assumptions'!$D$8,"Unavailable"))</x:f>
      </x:c>
      <x:c r="R10" s="35" t="str">
        <x:f>IF(R$8=0,"",IF(AND(R$8=1,COUNT('Assumptions'!$D$8)=1),'Assumptions'!$D$8,"Unavailable"))</x:f>
      </x:c>
      <x:c r="S10" s="35" t="str">
        <x:f>IF(S$8=0,"",IF(AND(S$8=1,COUNT('Assumptions'!$D$8)=1),'Assumptions'!$D$8,"Unavailable"))</x:f>
      </x:c>
      <x:c r="T10" s="35" t="str">
        <x:f>IF(T$8=0,"",IF(AND(T$8=1,COUNT('Assumptions'!$D$8)=1),'Assumptions'!$D$8,"Unavailable"))</x:f>
      </x:c>
      <x:c r="U10" s="35" t="str">
        <x:f>IF(U$8=0,"",IF(AND(U$8=1,COUNT('Assumptions'!$D$8)=1),'Assumptions'!$D$8,"Unavailable"))</x:f>
      </x:c>
      <x:c r="V10" s="35" t="str">
        <x:f>IF(V$8=0,"",IF(AND(V$8=1,COUNT('Assumptions'!$D$8)=1),'Assumptions'!$D$8,"Unavailable"))</x:f>
      </x:c>
      <x:c r="W10" s="35" t="str">
        <x:f>IF(W$8=0,"",IF(AND(W$8=1,COUNT('Assumptions'!$D$8)=1),'Assumptions'!$D$8,"Unavailable"))</x:f>
      </x:c>
      <x:c r="X10" s="35" t="str">
        <x:f>IF(X$8=0,"",IF(AND(X$8=1,COUNT('Assumptions'!$D$8)=1),'Assumptions'!$D$8,"Unavailable"))</x:f>
      </x:c>
      <x:c r="Y10" s="35" t="str">
        <x:f>IF(Y$8=0,"",IF(AND(Y$8=1,COUNT('Assumptions'!$D$8)=1),'Assumptions'!$D$8,"Unavailable"))</x:f>
      </x:c>
      <x:c r="Z10" s="35" t="str">
        <x:f>IF(Z$8=0,"",IF(AND(Z$8=1,COUNT('Assumptions'!$D$8)=1),'Assumptions'!$D$8,"Unavailable"))</x:f>
      </x:c>
      <x:c r="AA10" s="35" t="str">
        <x:f>IF(AA$8=0,"",IF(AND(AA$8=1,COUNT('Assumptions'!$D$8)=1),'Assumptions'!$D$8,"Unavailable"))</x:f>
      </x:c>
      <x:c r="AB10" s="35" t="str">
        <x:f>IF(AB$8=0,"",IF(AND(AB$8=1,COUNT('Assumptions'!$D$8)=1),'Assumptions'!$D$8,"Unavailable"))</x:f>
      </x:c>
    </x:row>
    <x:row r="11" ht="23" customHeight="1">
      <x:c r="A11" s="1"/>
      <x:c r="B11" s="1"/>
      <x:c r="C11" s="1" t="str">
        <x:v>Unconstrained demand, services</x:v>
      </x:c>
      <x:c r="D11" s="3"/>
      <x:c r="E11" s="35" t="n">
        <x:f>IF(E$8=0,"",IF(AND(E$8=1,COUNT('Assumptions'!E22,'Assumptions'!E27,E10)=3),('Assumptions'!E22+(E$6-1)*'Assumptions'!E27)*E10,"Unavailable"))</x:f>
        <x:v>120</x:v>
      </x:c>
      <x:c r="F11" s="35" t="n">
        <x:f>IF(F$8=0,"",IF(AND(F$8=1,COUNT('Assumptions'!F22,'Assumptions'!F27,F10)=3),('Assumptions'!F22+(F$6-1)*'Assumptions'!F27)*F10,"Unavailable"))</x:f>
        <x:v>130</x:v>
      </x:c>
      <x:c r="G11" s="35" t="n">
        <x:f>IF(G$8=0,"",IF(AND(G$8=1,COUNT('Assumptions'!G22,'Assumptions'!G27,G10)=3),('Assumptions'!G22+(G$6-1)*'Assumptions'!G27)*G10,"Unavailable"))</x:f>
        <x:v>140</x:v>
      </x:c>
      <x:c r="H11" s="35" t="n">
        <x:f>IF(H$8=0,"",IF(AND(H$8=1,COUNT('Assumptions'!H22,'Assumptions'!H27,H10)=3),('Assumptions'!H22+(H$6-1)*'Assumptions'!H27)*H10,"Unavailable"))</x:f>
        <x:v>150</x:v>
      </x:c>
      <x:c r="I11" s="35" t="n">
        <x:f>IF(I$8=0,"",IF(AND(I$8=1,COUNT('Assumptions'!I22,'Assumptions'!I27,I10)=3),('Assumptions'!I22+(I$6-1)*'Assumptions'!I27)*I10,"Unavailable"))</x:f>
        <x:v>160</x:v>
      </x:c>
      <x:c r="J11" s="35" t="n">
        <x:f>IF(J$8=0,"",IF(AND(J$8=1,COUNT('Assumptions'!J22,'Assumptions'!J27,J10)=3),('Assumptions'!J22+(J$6-1)*'Assumptions'!J27)*J10,"Unavailable"))</x:f>
        <x:v>170</x:v>
      </x:c>
      <x:c r="K11" s="35" t="n">
        <x:f>IF(K$8=0,"",IF(AND(K$8=1,COUNT('Assumptions'!K22,'Assumptions'!K27,K10)=3),('Assumptions'!K22+(K$6-1)*'Assumptions'!K27)*K10,"Unavailable"))</x:f>
        <x:v>180</x:v>
      </x:c>
      <x:c r="L11" s="35" t="n">
        <x:f>IF(L$8=0,"",IF(AND(L$8=1,COUNT('Assumptions'!L22,'Assumptions'!L27,L10)=3),('Assumptions'!L22+(L$6-1)*'Assumptions'!L27)*L10,"Unavailable"))</x:f>
        <x:v>190</x:v>
      </x:c>
      <x:c r="M11" s="35" t="n">
        <x:f>IF(M$8=0,"",IF(AND(M$8=1,COUNT('Assumptions'!M22,'Assumptions'!M27,M10)=3),('Assumptions'!M22+(M$6-1)*'Assumptions'!M27)*M10,"Unavailable"))</x:f>
        <x:v>200</x:v>
      </x:c>
      <x:c r="N11" s="35" t="n">
        <x:f>IF(N$8=0,"",IF(AND(N$8=1,COUNT('Assumptions'!N22,'Assumptions'!N27,N10)=3),('Assumptions'!N22+(N$6-1)*'Assumptions'!N27)*N10,"Unavailable"))</x:f>
        <x:v>210</x:v>
      </x:c>
      <x:c r="O11" s="35" t="n">
        <x:f>IF(O$8=0,"",IF(AND(O$8=1,COUNT('Assumptions'!O22,'Assumptions'!O27,O10)=3),('Assumptions'!O22+(O$6-1)*'Assumptions'!O27)*O10,"Unavailable"))</x:f>
        <x:v>220</x:v>
      </x:c>
      <x:c r="P11" s="35" t="n">
        <x:f>IF(P$8=0,"",IF(AND(P$8=1,COUNT('Assumptions'!P22,'Assumptions'!P27,P10)=3),('Assumptions'!P22+(P$6-1)*'Assumptions'!P27)*P10,"Unavailable"))</x:f>
        <x:v>230</x:v>
      </x:c>
      <x:c r="Q11" s="35" t="str">
        <x:f>IF(Q$8=0,"",IF(AND(Q$8=1,COUNT('Assumptions'!Q22,'Assumptions'!Q27,Q10)=3),('Assumptions'!Q22+(Q$6-1)*'Assumptions'!Q27)*Q10,"Unavailable"))</x:f>
      </x:c>
      <x:c r="R11" s="35" t="str">
        <x:f>IF(R$8=0,"",IF(AND(R$8=1,COUNT('Assumptions'!R22,'Assumptions'!R27,R10)=3),('Assumptions'!R22+(R$6-1)*'Assumptions'!R27)*R10,"Unavailable"))</x:f>
      </x:c>
      <x:c r="S11" s="35" t="str">
        <x:f>IF(S$8=0,"",IF(AND(S$8=1,COUNT('Assumptions'!S22,'Assumptions'!S27,S10)=3),('Assumptions'!S22+(S$6-1)*'Assumptions'!S27)*S10,"Unavailable"))</x:f>
      </x:c>
      <x:c r="T11" s="35" t="str">
        <x:f>IF(T$8=0,"",IF(AND(T$8=1,COUNT('Assumptions'!T22,'Assumptions'!T27,T10)=3),('Assumptions'!T22+(T$6-1)*'Assumptions'!T27)*T10,"Unavailable"))</x:f>
      </x:c>
      <x:c r="U11" s="35" t="str">
        <x:f>IF(U$8=0,"",IF(AND(U$8=1,COUNT('Assumptions'!U22,'Assumptions'!U27,U10)=3),('Assumptions'!U22+(U$6-1)*'Assumptions'!U27)*U10,"Unavailable"))</x:f>
      </x:c>
      <x:c r="V11" s="35" t="str">
        <x:f>IF(V$8=0,"",IF(AND(V$8=1,COUNT('Assumptions'!V22,'Assumptions'!V27,V10)=3),('Assumptions'!V22+(V$6-1)*'Assumptions'!V27)*V10,"Unavailable"))</x:f>
      </x:c>
      <x:c r="W11" s="35" t="str">
        <x:f>IF(W$8=0,"",IF(AND(W$8=1,COUNT('Assumptions'!W22,'Assumptions'!W27,W10)=3),('Assumptions'!W22+(W$6-1)*'Assumptions'!W27)*W10,"Unavailable"))</x:f>
      </x:c>
      <x:c r="X11" s="35" t="str">
        <x:f>IF(X$8=0,"",IF(AND(X$8=1,COUNT('Assumptions'!X22,'Assumptions'!X27,X10)=3),('Assumptions'!X22+(X$6-1)*'Assumptions'!X27)*X10,"Unavailable"))</x:f>
      </x:c>
      <x:c r="Y11" s="35" t="str">
        <x:f>IF(Y$8=0,"",IF(AND(Y$8=1,COUNT('Assumptions'!Y22,'Assumptions'!Y27,Y10)=3),('Assumptions'!Y22+(Y$6-1)*'Assumptions'!Y27)*Y10,"Unavailable"))</x:f>
      </x:c>
      <x:c r="Z11" s="35" t="str">
        <x:f>IF(Z$8=0,"",IF(AND(Z$8=1,COUNT('Assumptions'!Z22,'Assumptions'!Z27,Z10)=3),('Assumptions'!Z22+(Z$6-1)*'Assumptions'!Z27)*Z10,"Unavailable"))</x:f>
      </x:c>
      <x:c r="AA11" s="35" t="str">
        <x:f>IF(AA$8=0,"",IF(AND(AA$8=1,COUNT('Assumptions'!AA22,'Assumptions'!AA27,AA10)=3),('Assumptions'!AA22+(AA$6-1)*'Assumptions'!AA27)*AA10,"Unavailable"))</x:f>
      </x:c>
      <x:c r="AB11" s="35" t="str">
        <x:f>IF(AB$8=0,"",IF(AND(AB$8=1,COUNT('Assumptions'!AB22,'Assumptions'!AB27,AB10)=3),('Assumptions'!AB22+(AB$6-1)*'Assumptions'!AB27)*AB10,"Unavailable"))</x:f>
      </x:c>
    </x:row>
    <x:row r="12" ht="23" customHeight="1">
      <x:c r="A12" s="1"/>
      <x:c r="B12" s="1"/>
      <x:c r="C12" s="1" t="str">
        <x:v>Capacity, services</x:v>
      </x:c>
      <x:c r="D12" s="3"/>
      <x:c r="E12" s="35" t="n">
        <x:f>IF(E$8=0,"",IF(AND(E$8=1,COUNT('Sources'!$D$9,E10)=2),'Sources'!$D$9*E10,"Unavailable"))</x:f>
        <x:v>200</x:v>
      </x:c>
      <x:c r="F12" s="35" t="n">
        <x:f>IF(F$8=0,"",IF(AND(F$8=1,COUNT('Sources'!$D$9,F10)=2),'Sources'!$D$9*F10,"Unavailable"))</x:f>
        <x:v>200</x:v>
      </x:c>
      <x:c r="G12" s="35" t="n">
        <x:f>IF(G$8=0,"",IF(AND(G$8=1,COUNT('Sources'!$D$9,G10)=2),'Sources'!$D$9*G10,"Unavailable"))</x:f>
        <x:v>200</x:v>
      </x:c>
      <x:c r="H12" s="35" t="n">
        <x:f>IF(H$8=0,"",IF(AND(H$8=1,COUNT('Sources'!$D$9,H10)=2),'Sources'!$D$9*H10,"Unavailable"))</x:f>
        <x:v>200</x:v>
      </x:c>
      <x:c r="I12" s="35" t="n">
        <x:f>IF(I$8=0,"",IF(AND(I$8=1,COUNT('Sources'!$D$9,I10)=2),'Sources'!$D$9*I10,"Unavailable"))</x:f>
        <x:v>200</x:v>
      </x:c>
      <x:c r="J12" s="35" t="n">
        <x:f>IF(J$8=0,"",IF(AND(J$8=1,COUNT('Sources'!$D$9,J10)=2),'Sources'!$D$9*J10,"Unavailable"))</x:f>
        <x:v>200</x:v>
      </x:c>
      <x:c r="K12" s="35" t="n">
        <x:f>IF(K$8=0,"",IF(AND(K$8=1,COUNT('Sources'!$D$9,K10)=2),'Sources'!$D$9*K10,"Unavailable"))</x:f>
        <x:v>200</x:v>
      </x:c>
      <x:c r="L12" s="35" t="n">
        <x:f>IF(L$8=0,"",IF(AND(L$8=1,COUNT('Sources'!$D$9,L10)=2),'Sources'!$D$9*L10,"Unavailable"))</x:f>
        <x:v>200</x:v>
      </x:c>
      <x:c r="M12" s="35" t="n">
        <x:f>IF(M$8=0,"",IF(AND(M$8=1,COUNT('Sources'!$D$9,M10)=2),'Sources'!$D$9*M10,"Unavailable"))</x:f>
        <x:v>200</x:v>
      </x:c>
      <x:c r="N12" s="35" t="n">
        <x:f>IF(N$8=0,"",IF(AND(N$8=1,COUNT('Sources'!$D$9,N10)=2),'Sources'!$D$9*N10,"Unavailable"))</x:f>
        <x:v>200</x:v>
      </x:c>
      <x:c r="O12" s="35" t="n">
        <x:f>IF(O$8=0,"",IF(AND(O$8=1,COUNT('Sources'!$D$9,O10)=2),'Sources'!$D$9*O10,"Unavailable"))</x:f>
        <x:v>200</x:v>
      </x:c>
      <x:c r="P12" s="35" t="n">
        <x:f>IF(P$8=0,"",IF(AND(P$8=1,COUNT('Sources'!$D$9,P10)=2),'Sources'!$D$9*P10,"Unavailable"))</x:f>
        <x:v>200</x:v>
      </x:c>
      <x:c r="Q12" s="35" t="str">
        <x:f>IF(Q$8=0,"",IF(AND(Q$8=1,COUNT('Sources'!$D$9,Q10)=2),'Sources'!$D$9*Q10,"Unavailable"))</x:f>
      </x:c>
      <x:c r="R12" s="35" t="str">
        <x:f>IF(R$8=0,"",IF(AND(R$8=1,COUNT('Sources'!$D$9,R10)=2),'Sources'!$D$9*R10,"Unavailable"))</x:f>
      </x:c>
      <x:c r="S12" s="35" t="str">
        <x:f>IF(S$8=0,"",IF(AND(S$8=1,COUNT('Sources'!$D$9,S10)=2),'Sources'!$D$9*S10,"Unavailable"))</x:f>
      </x:c>
      <x:c r="T12" s="35" t="str">
        <x:f>IF(T$8=0,"",IF(AND(T$8=1,COUNT('Sources'!$D$9,T10)=2),'Sources'!$D$9*T10,"Unavailable"))</x:f>
      </x:c>
      <x:c r="U12" s="35" t="str">
        <x:f>IF(U$8=0,"",IF(AND(U$8=1,COUNT('Sources'!$D$9,U10)=2),'Sources'!$D$9*U10,"Unavailable"))</x:f>
      </x:c>
      <x:c r="V12" s="35" t="str">
        <x:f>IF(V$8=0,"",IF(AND(V$8=1,COUNT('Sources'!$D$9,V10)=2),'Sources'!$D$9*V10,"Unavailable"))</x:f>
      </x:c>
      <x:c r="W12" s="35" t="str">
        <x:f>IF(W$8=0,"",IF(AND(W$8=1,COUNT('Sources'!$D$9,W10)=2),'Sources'!$D$9*W10,"Unavailable"))</x:f>
      </x:c>
      <x:c r="X12" s="35" t="str">
        <x:f>IF(X$8=0,"",IF(AND(X$8=1,COUNT('Sources'!$D$9,X10)=2),'Sources'!$D$9*X10,"Unavailable"))</x:f>
      </x:c>
      <x:c r="Y12" s="35" t="str">
        <x:f>IF(Y$8=0,"",IF(AND(Y$8=1,COUNT('Sources'!$D$9,Y10)=2),'Sources'!$D$9*Y10,"Unavailable"))</x:f>
      </x:c>
      <x:c r="Z12" s="35" t="str">
        <x:f>IF(Z$8=0,"",IF(AND(Z$8=1,COUNT('Sources'!$D$9,Z10)=2),'Sources'!$D$9*Z10,"Unavailable"))</x:f>
      </x:c>
      <x:c r="AA12" s="35" t="str">
        <x:f>IF(AA$8=0,"",IF(AND(AA$8=1,COUNT('Sources'!$D$9,AA10)=2),'Sources'!$D$9*AA10,"Unavailable"))</x:f>
      </x:c>
      <x:c r="AB12" s="35" t="str">
        <x:f>IF(AB$8=0,"",IF(AND(AB$8=1,COUNT('Sources'!$D$9,AB10)=2),'Sources'!$D$9*AB10,"Unavailable"))</x:f>
      </x:c>
    </x:row>
    <x:row r="13" ht="23" customHeight="1">
      <x:c r="A13" s="1"/>
      <x:c r="B13" s="1"/>
      <x:c r="C13" s="1" t="str">
        <x:v>Sold services</x:v>
      </x:c>
      <x:c r="D13" s="3"/>
      <x:c r="E13" s="27"/>
      <x:c r="F13" s="4" t="n">
        <x:f>IF(F$8=0,"",IF(AND(F$8=1,COUNT(F11,F12)=2),MIN(F11,F12),"Unavailable"))</x:f>
        <x:v>130</x:v>
      </x:c>
      <x:c r="G13" s="4" t="n">
        <x:f>IF(G$8=0,"",IF(AND(G$8=1,COUNT(G11,G12)=2),MIN(G11,G12),"Unavailable"))</x:f>
        <x:v>140</x:v>
      </x:c>
      <x:c r="H13" s="4" t="n">
        <x:f>IF(H$8=0,"",IF(AND(H$8=1,COUNT(H11,H12)=2),MIN(H11,H12),"Unavailable"))</x:f>
        <x:v>150</x:v>
      </x:c>
      <x:c r="I13" s="4" t="n">
        <x:f>IF(I$8=0,"",IF(AND(I$8=1,COUNT(I11,I12)=2),MIN(I11,I12),"Unavailable"))</x:f>
        <x:v>160</x:v>
      </x:c>
      <x:c r="J13" s="4" t="n">
        <x:f>IF(J$8=0,"",IF(AND(J$8=1,COUNT(J11,J12)=2),MIN(J11,J12),"Unavailable"))</x:f>
        <x:v>170</x:v>
      </x:c>
      <x:c r="K13" s="4" t="n">
        <x:f>IF(K$8=0,"",IF(AND(K$8=1,COUNT(K11,K12)=2),MIN(K11,K12),"Unavailable"))</x:f>
        <x:v>180</x:v>
      </x:c>
      <x:c r="L13" s="4" t="n">
        <x:f>IF(L$8=0,"",IF(AND(L$8=1,COUNT(L11,L12)=2),MIN(L11,L12),"Unavailable"))</x:f>
        <x:v>190</x:v>
      </x:c>
      <x:c r="M13" s="4" t="n">
        <x:f>IF(M$8=0,"",IF(AND(M$8=1,COUNT(M11,M12)=2),MIN(M11,M12),"Unavailable"))</x:f>
        <x:v>200</x:v>
      </x:c>
      <x:c r="N13" s="4" t="n">
        <x:f>IF(N$8=0,"",IF(AND(N$8=1,COUNT(N11,N12)=2),MIN(N11,N12),"Unavailable"))</x:f>
        <x:v>200</x:v>
      </x:c>
      <x:c r="O13" s="4" t="n">
        <x:f>IF(O$8=0,"",IF(AND(O$8=1,COUNT(O11,O12)=2),MIN(O11,O12),"Unavailable"))</x:f>
        <x:v>200</x:v>
      </x:c>
      <x:c r="P13" s="4" t="n">
        <x:f>IF(P$8=0,"",IF(AND(P$8=1,COUNT(P11,P12)=2),MIN(P11,P12),"Unavailable"))</x:f>
        <x:v>200</x:v>
      </x:c>
      <x:c r="Q13" s="4" t="str">
        <x:f>IF(Q$8=0,"",IF(AND(Q$8=1,COUNT(Q11,Q12)=2),MIN(Q11,Q12),"Unavailable"))</x:f>
      </x:c>
      <x:c r="R13" s="4" t="str">
        <x:f>IF(R$8=0,"",IF(AND(R$8=1,COUNT(R11,R12)=2),MIN(R11,R12),"Unavailable"))</x:f>
      </x:c>
      <x:c r="S13" s="4" t="str">
        <x:f>IF(S$8=0,"",IF(AND(S$8=1,COUNT(S11,S12)=2),MIN(S11,S12),"Unavailable"))</x:f>
      </x:c>
      <x:c r="T13" s="4" t="str">
        <x:f>IF(T$8=0,"",IF(AND(T$8=1,COUNT(T11,T12)=2),MIN(T11,T12),"Unavailable"))</x:f>
      </x:c>
      <x:c r="U13" s="4" t="str">
        <x:f>IF(U$8=0,"",IF(AND(U$8=1,COUNT(U11,U12)=2),MIN(U11,U12),"Unavailable"))</x:f>
      </x:c>
      <x:c r="V13" s="4" t="str">
        <x:f>IF(V$8=0,"",IF(AND(V$8=1,COUNT(V11,V12)=2),MIN(V11,V12),"Unavailable"))</x:f>
      </x:c>
      <x:c r="W13" s="4" t="str">
        <x:f>IF(W$8=0,"",IF(AND(W$8=1,COUNT(W11,W12)=2),MIN(W11,W12),"Unavailable"))</x:f>
      </x:c>
      <x:c r="X13" s="4" t="str">
        <x:f>IF(X$8=0,"",IF(AND(X$8=1,COUNT(X11,X12)=2),MIN(X11,X12),"Unavailable"))</x:f>
      </x:c>
      <x:c r="Y13" s="4" t="str">
        <x:f>IF(Y$8=0,"",IF(AND(Y$8=1,COUNT(Y11,Y12)=2),MIN(Y11,Y12),"Unavailable"))</x:f>
      </x:c>
      <x:c r="Z13" s="4" t="str">
        <x:f>IF(Z$8=0,"",IF(AND(Z$8=1,COUNT(Z11,Z12)=2),MIN(Z11,Z12),"Unavailable"))</x:f>
      </x:c>
      <x:c r="AA13" s="4" t="str">
        <x:f>IF(AA$8=0,"",IF(AND(AA$8=1,COUNT(AA11,AA12)=2),MIN(AA11,AA12),"Unavailable"))</x:f>
      </x:c>
      <x:c r="AB13" s="4" t="str">
        <x:f>IF(AB$8=0,"",IF(AND(AB$8=1,COUNT(AB11,AB12)=2),MIN(AB11,AB12),"Unavailable"))</x:f>
      </x:c>
    </x:row>
    <x:row r="14" ht="23" customHeight="1">
      <x:c r="A14" s="1"/>
      <x:c r="B14" s="1"/>
      <x:c r="C14" s="1" t="str">
        <x:v>Active price, USD/service</x:v>
      </x:c>
      <x:c r="D14" s="3"/>
      <x:c r="E14" s="35" t="n">
        <x:f>IF(E$8=0,"",IF(AND(E$8=1,COUNT('Assumptions'!E32)=1),'Assumptions'!E32,"Unavailable"))</x:f>
        <x:v>100</x:v>
      </x:c>
      <x:c r="F14" s="35" t="n">
        <x:f>IF(F$8=0,"",IF(AND(F$8=1,COUNT('Assumptions'!F32)=1),'Assumptions'!F32,"Unavailable"))</x:f>
        <x:v>100</x:v>
      </x:c>
      <x:c r="G14" s="35" t="n">
        <x:f>IF(G$8=0,"",IF(AND(G$8=1,COUNT('Assumptions'!G32)=1),'Assumptions'!G32,"Unavailable"))</x:f>
        <x:v>100</x:v>
      </x:c>
      <x:c r="H14" s="35" t="n">
        <x:f>IF(H$8=0,"",IF(AND(H$8=1,COUNT('Assumptions'!H32)=1),'Assumptions'!H32,"Unavailable"))</x:f>
        <x:v>100</x:v>
      </x:c>
      <x:c r="I14" s="35" t="n">
        <x:f>IF(I$8=0,"",IF(AND(I$8=1,COUNT('Assumptions'!I32)=1),'Assumptions'!I32,"Unavailable"))</x:f>
        <x:v>100</x:v>
      </x:c>
      <x:c r="J14" s="35" t="n">
        <x:f>IF(J$8=0,"",IF(AND(J$8=1,COUNT('Assumptions'!J32)=1),'Assumptions'!J32,"Unavailable"))</x:f>
        <x:v>100</x:v>
      </x:c>
      <x:c r="K14" s="35" t="n">
        <x:f>IF(K$8=0,"",IF(AND(K$8=1,COUNT('Assumptions'!K32)=1),'Assumptions'!K32,"Unavailable"))</x:f>
        <x:v>100</x:v>
      </x:c>
      <x:c r="L14" s="35" t="n">
        <x:f>IF(L$8=0,"",IF(AND(L$8=1,COUNT('Assumptions'!L32)=1),'Assumptions'!L32,"Unavailable"))</x:f>
        <x:v>100</x:v>
      </x:c>
      <x:c r="M14" s="35" t="n">
        <x:f>IF(M$8=0,"",IF(AND(M$8=1,COUNT('Assumptions'!M32)=1),'Assumptions'!M32,"Unavailable"))</x:f>
        <x:v>100</x:v>
      </x:c>
      <x:c r="N14" s="35" t="n">
        <x:f>IF(N$8=0,"",IF(AND(N$8=1,COUNT('Assumptions'!N32)=1),'Assumptions'!N32,"Unavailable"))</x:f>
        <x:v>100</x:v>
      </x:c>
      <x:c r="O14" s="35" t="n">
        <x:f>IF(O$8=0,"",IF(AND(O$8=1,COUNT('Assumptions'!O32)=1),'Assumptions'!O32,"Unavailable"))</x:f>
        <x:v>100</x:v>
      </x:c>
      <x:c r="P14" s="35" t="n">
        <x:f>IF(P$8=0,"",IF(AND(P$8=1,COUNT('Assumptions'!P32)=1),'Assumptions'!P32,"Unavailable"))</x:f>
        <x:v>100</x:v>
      </x:c>
      <x:c r="Q14" s="35" t="str">
        <x:f>IF(Q$8=0,"",IF(AND(Q$8=1,COUNT('Assumptions'!Q32)=1),'Assumptions'!Q32,"Unavailable"))</x:f>
      </x:c>
      <x:c r="R14" s="35" t="str">
        <x:f>IF(R$8=0,"",IF(AND(R$8=1,COUNT('Assumptions'!R32)=1),'Assumptions'!R32,"Unavailable"))</x:f>
      </x:c>
      <x:c r="S14" s="35" t="str">
        <x:f>IF(S$8=0,"",IF(AND(S$8=1,COUNT('Assumptions'!S32)=1),'Assumptions'!S32,"Unavailable"))</x:f>
      </x:c>
      <x:c r="T14" s="35" t="str">
        <x:f>IF(T$8=0,"",IF(AND(T$8=1,COUNT('Assumptions'!T32)=1),'Assumptions'!T32,"Unavailable"))</x:f>
      </x:c>
      <x:c r="U14" s="35" t="str">
        <x:f>IF(U$8=0,"",IF(AND(U$8=1,COUNT('Assumptions'!U32)=1),'Assumptions'!U32,"Unavailable"))</x:f>
      </x:c>
      <x:c r="V14" s="35" t="str">
        <x:f>IF(V$8=0,"",IF(AND(V$8=1,COUNT('Assumptions'!V32)=1),'Assumptions'!V32,"Unavailable"))</x:f>
      </x:c>
      <x:c r="W14" s="35" t="str">
        <x:f>IF(W$8=0,"",IF(AND(W$8=1,COUNT('Assumptions'!W32)=1),'Assumptions'!W32,"Unavailable"))</x:f>
      </x:c>
      <x:c r="X14" s="35" t="str">
        <x:f>IF(X$8=0,"",IF(AND(X$8=1,COUNT('Assumptions'!X32)=1),'Assumptions'!X32,"Unavailable"))</x:f>
      </x:c>
      <x:c r="Y14" s="35" t="str">
        <x:f>IF(Y$8=0,"",IF(AND(Y$8=1,COUNT('Assumptions'!Y32)=1),'Assumptions'!Y32,"Unavailable"))</x:f>
      </x:c>
      <x:c r="Z14" s="35" t="str">
        <x:f>IF(Z$8=0,"",IF(AND(Z$8=1,COUNT('Assumptions'!Z32)=1),'Assumptions'!Z32,"Unavailable"))</x:f>
      </x:c>
      <x:c r="AA14" s="35" t="str">
        <x:f>IF(AA$8=0,"",IF(AND(AA$8=1,COUNT('Assumptions'!AA32)=1),'Assumptions'!AA32,"Unavailable"))</x:f>
      </x:c>
      <x:c r="AB14" s="35" t="str">
        <x:f>IF(AB$8=0,"",IF(AND(AB$8=1,COUNT('Assumptions'!AB32)=1),'Assumptions'!AB32,"Unavailable"))</x:f>
      </x:c>
    </x:row>
    <x:row r="15" ht="23" customHeight="1">
      <x:c r="A15" s="1"/>
      <x:c r="B15" s="1"/>
      <x:c r="C15" s="1" t="str">
        <x:v>Revenue, USD</x:v>
      </x:c>
      <x:c r="D15" s="3"/>
      <x:c r="E15" s="4" t="str">
        <x:f>IF(E$8=0,"",IF(AND(E$8=1,COUNT(E13,E14)=2),E13*E14,"Unavailable"))</x:f>
        <x:v>Unavailable</x:v>
      </x:c>
      <x:c r="F15" s="4" t="n">
        <x:f>IF(F$8=0,"",IF(AND(F$8=1,COUNT(F13,F14)=2),F13*F14,"Unavailable"))</x:f>
        <x:v>13000</x:v>
      </x:c>
      <x:c r="G15" s="4" t="n">
        <x:f>IF(G$8=0,"",IF(AND(G$8=1,COUNT(G13,G14)=2),G13*G14,"Unavailable"))</x:f>
        <x:v>14000</x:v>
      </x:c>
      <x:c r="H15" s="4" t="n">
        <x:f>IF(H$8=0,"",IF(AND(H$8=1,COUNT(H13,H14)=2),H13*H14,"Unavailable"))</x:f>
        <x:v>15000</x:v>
      </x:c>
      <x:c r="I15" s="4" t="n">
        <x:f>IF(I$8=0,"",IF(AND(I$8=1,COUNT(I13,I14)=2),I13*I14,"Unavailable"))</x:f>
        <x:v>16000</x:v>
      </x:c>
      <x:c r="J15" s="4" t="n">
        <x:f>IF(J$8=0,"",IF(AND(J$8=1,COUNT(J13,J14)=2),J13*J14,"Unavailable"))</x:f>
        <x:v>17000</x:v>
      </x:c>
      <x:c r="K15" s="4" t="n">
        <x:f>IF(K$8=0,"",IF(AND(K$8=1,COUNT(K13,K14)=2),K13*K14,"Unavailable"))</x:f>
        <x:v>18000</x:v>
      </x:c>
      <x:c r="L15" s="4" t="n">
        <x:f>IF(L$8=0,"",IF(AND(L$8=1,COUNT(L13,L14)=2),L13*L14,"Unavailable"))</x:f>
        <x:v>19000</x:v>
      </x:c>
      <x:c r="M15" s="4" t="n">
        <x:f>IF(M$8=0,"",IF(AND(M$8=1,COUNT(M13,M14)=2),M13*M14,"Unavailable"))</x:f>
        <x:v>20000</x:v>
      </x:c>
      <x:c r="N15" s="4" t="n">
        <x:f>IF(N$8=0,"",IF(AND(N$8=1,COUNT(N13,N14)=2),N13*N14,"Unavailable"))</x:f>
        <x:v>20000</x:v>
      </x:c>
      <x:c r="O15" s="4" t="n">
        <x:f>IF(O$8=0,"",IF(AND(O$8=1,COUNT(O13,O14)=2),O13*O14,"Unavailable"))</x:f>
        <x:v>20000</x:v>
      </x:c>
      <x:c r="P15" s="4" t="n">
        <x:f>IF(P$8=0,"",IF(AND(P$8=1,COUNT(P13,P14)=2),P13*P14,"Unavailable"))</x:f>
        <x:v>20000</x:v>
      </x:c>
      <x:c r="Q15" s="4" t="str">
        <x:f>IF(Q$8=0,"",IF(AND(Q$8=1,COUNT(Q13,Q14)=2),Q13*Q14,"Unavailable"))</x:f>
      </x:c>
      <x:c r="R15" s="4" t="str">
        <x:f>IF(R$8=0,"",IF(AND(R$8=1,COUNT(R13,R14)=2),R13*R14,"Unavailable"))</x:f>
      </x:c>
      <x:c r="S15" s="4" t="str">
        <x:f>IF(S$8=0,"",IF(AND(S$8=1,COUNT(S13,S14)=2),S13*S14,"Unavailable"))</x:f>
      </x:c>
      <x:c r="T15" s="4" t="str">
        <x:f>IF(T$8=0,"",IF(AND(T$8=1,COUNT(T13,T14)=2),T13*T14,"Unavailable"))</x:f>
      </x:c>
      <x:c r="U15" s="4" t="str">
        <x:f>IF(U$8=0,"",IF(AND(U$8=1,COUNT(U13,U14)=2),U13*U14,"Unavailable"))</x:f>
      </x:c>
      <x:c r="V15" s="4" t="str">
        <x:f>IF(V$8=0,"",IF(AND(V$8=1,COUNT(V13,V14)=2),V13*V14,"Unavailable"))</x:f>
      </x:c>
      <x:c r="W15" s="4" t="str">
        <x:f>IF(W$8=0,"",IF(AND(W$8=1,COUNT(W13,W14)=2),W13*W14,"Unavailable"))</x:f>
      </x:c>
      <x:c r="X15" s="4" t="str">
        <x:f>IF(X$8=0,"",IF(AND(X$8=1,COUNT(X13,X14)=2),X13*X14,"Unavailable"))</x:f>
      </x:c>
      <x:c r="Y15" s="4" t="str">
        <x:f>IF(Y$8=0,"",IF(AND(Y$8=1,COUNT(Y13,Y14)=2),Y13*Y14,"Unavailable"))</x:f>
      </x:c>
      <x:c r="Z15" s="4" t="str">
        <x:f>IF(Z$8=0,"",IF(AND(Z$8=1,COUNT(Z13,Z14)=2),Z13*Z14,"Unavailable"))</x:f>
      </x:c>
      <x:c r="AA15" s="4" t="str">
        <x:f>IF(AA$8=0,"",IF(AND(AA$8=1,COUNT(AA13,AA14)=2),AA13*AA14,"Unavailable"))</x:f>
      </x:c>
      <x:c r="AB15" s="4" t="str">
        <x:f>IF(AB$8=0,"",IF(AND(AB$8=1,COUNT(AB13,AB14)=2),AB13*AB14,"Unavailable"))</x:f>
      </x:c>
    </x:row>
    <x:row r="16" ht="23" customHeight="1">
      <x:c r="A16" s="1"/>
      <x:c r="B16" s="1"/>
      <x:c r="C16" s="1" t="str">
        <x:v>Active variable USD/service</x:v>
      </x:c>
      <x:c r="D16" s="3"/>
      <x:c r="E16" s="35" t="n">
        <x:f>IF(E$8=0,"",IF(AND(E$8=1,COUNT('Assumptions'!E37)=1),'Assumptions'!E37,"Unavailable"))</x:f>
        <x:v>40</x:v>
      </x:c>
      <x:c r="F16" s="35" t="n">
        <x:f>IF(F$8=0,"",IF(AND(F$8=1,COUNT('Assumptions'!F37)=1),'Assumptions'!F37,"Unavailable"))</x:f>
        <x:v>40</x:v>
      </x:c>
      <x:c r="G16" s="35" t="n">
        <x:f>IF(G$8=0,"",IF(AND(G$8=1,COUNT('Assumptions'!G37)=1),'Assumptions'!G37,"Unavailable"))</x:f>
        <x:v>40</x:v>
      </x:c>
      <x:c r="H16" s="35" t="n">
        <x:f>IF(H$8=0,"",IF(AND(H$8=1,COUNT('Assumptions'!H37)=1),'Assumptions'!H37,"Unavailable"))</x:f>
        <x:v>40</x:v>
      </x:c>
      <x:c r="I16" s="35" t="n">
        <x:f>IF(I$8=0,"",IF(AND(I$8=1,COUNT('Assumptions'!I37)=1),'Assumptions'!I37,"Unavailable"))</x:f>
        <x:v>40</x:v>
      </x:c>
      <x:c r="J16" s="35" t="n">
        <x:f>IF(J$8=0,"",IF(AND(J$8=1,COUNT('Assumptions'!J37)=1),'Assumptions'!J37,"Unavailable"))</x:f>
        <x:v>40</x:v>
      </x:c>
      <x:c r="K16" s="35" t="n">
        <x:f>IF(K$8=0,"",IF(AND(K$8=1,COUNT('Assumptions'!K37)=1),'Assumptions'!K37,"Unavailable"))</x:f>
        <x:v>40</x:v>
      </x:c>
      <x:c r="L16" s="35" t="n">
        <x:f>IF(L$8=0,"",IF(AND(L$8=1,COUNT('Assumptions'!L37)=1),'Assumptions'!L37,"Unavailable"))</x:f>
        <x:v>40</x:v>
      </x:c>
      <x:c r="M16" s="35" t="n">
        <x:f>IF(M$8=0,"",IF(AND(M$8=1,COUNT('Assumptions'!M37)=1),'Assumptions'!M37,"Unavailable"))</x:f>
        <x:v>40</x:v>
      </x:c>
      <x:c r="N16" s="35" t="n">
        <x:f>IF(N$8=0,"",IF(AND(N$8=1,COUNT('Assumptions'!N37)=1),'Assumptions'!N37,"Unavailable"))</x:f>
        <x:v>40</x:v>
      </x:c>
      <x:c r="O16" s="35" t="n">
        <x:f>IF(O$8=0,"",IF(AND(O$8=1,COUNT('Assumptions'!O37)=1),'Assumptions'!O37,"Unavailable"))</x:f>
        <x:v>40</x:v>
      </x:c>
      <x:c r="P16" s="35" t="n">
        <x:f>IF(P$8=0,"",IF(AND(P$8=1,COUNT('Assumptions'!P37)=1),'Assumptions'!P37,"Unavailable"))</x:f>
        <x:v>40</x:v>
      </x:c>
      <x:c r="Q16" s="35" t="str">
        <x:f>IF(Q$8=0,"",IF(AND(Q$8=1,COUNT('Assumptions'!Q37)=1),'Assumptions'!Q37,"Unavailable"))</x:f>
      </x:c>
      <x:c r="R16" s="35" t="str">
        <x:f>IF(R$8=0,"",IF(AND(R$8=1,COUNT('Assumptions'!R37)=1),'Assumptions'!R37,"Unavailable"))</x:f>
      </x:c>
      <x:c r="S16" s="35" t="str">
        <x:f>IF(S$8=0,"",IF(AND(S$8=1,COUNT('Assumptions'!S37)=1),'Assumptions'!S37,"Unavailable"))</x:f>
      </x:c>
      <x:c r="T16" s="35" t="str">
        <x:f>IF(T$8=0,"",IF(AND(T$8=1,COUNT('Assumptions'!T37)=1),'Assumptions'!T37,"Unavailable"))</x:f>
      </x:c>
      <x:c r="U16" s="35" t="str">
        <x:f>IF(U$8=0,"",IF(AND(U$8=1,COUNT('Assumptions'!U37)=1),'Assumptions'!U37,"Unavailable"))</x:f>
      </x:c>
      <x:c r="V16" s="35" t="str">
        <x:f>IF(V$8=0,"",IF(AND(V$8=1,COUNT('Assumptions'!V37)=1),'Assumptions'!V37,"Unavailable"))</x:f>
      </x:c>
      <x:c r="W16" s="35" t="str">
        <x:f>IF(W$8=0,"",IF(AND(W$8=1,COUNT('Assumptions'!W37)=1),'Assumptions'!W37,"Unavailable"))</x:f>
      </x:c>
      <x:c r="X16" s="35" t="str">
        <x:f>IF(X$8=0,"",IF(AND(X$8=1,COUNT('Assumptions'!X37)=1),'Assumptions'!X37,"Unavailable"))</x:f>
      </x:c>
      <x:c r="Y16" s="35" t="str">
        <x:f>IF(Y$8=0,"",IF(AND(Y$8=1,COUNT('Assumptions'!Y37)=1),'Assumptions'!Y37,"Unavailable"))</x:f>
      </x:c>
      <x:c r="Z16" s="35" t="str">
        <x:f>IF(Z$8=0,"",IF(AND(Z$8=1,COUNT('Assumptions'!Z37)=1),'Assumptions'!Z37,"Unavailable"))</x:f>
      </x:c>
      <x:c r="AA16" s="35" t="str">
        <x:f>IF(AA$8=0,"",IF(AND(AA$8=1,COUNT('Assumptions'!AA37)=1),'Assumptions'!AA37,"Unavailable"))</x:f>
      </x:c>
      <x:c r="AB16" s="35" t="str">
        <x:f>IF(AB$8=0,"",IF(AND(AB$8=1,COUNT('Assumptions'!AB37)=1),'Assumptions'!AB37,"Unavailable"))</x:f>
      </x:c>
    </x:row>
    <x:row r="17" ht="23" customHeight="1">
      <x:c r="A17" s="1"/>
      <x:c r="B17" s="1"/>
      <x:c r="C17" s="1" t="str">
        <x:v>Variable cash cost, USD</x:v>
      </x:c>
      <x:c r="D17" s="3"/>
      <x:c r="E17" s="4" t="str">
        <x:f>IF(E$8=0,"",IF(AND(E$8=1,COUNT(E13,E16)=2),E13*E16,"Unavailable"))</x:f>
        <x:v>Unavailable</x:v>
      </x:c>
      <x:c r="F17" s="4" t="n">
        <x:f>IF(F$8=0,"",IF(AND(F$8=1,COUNT(F13,F16)=2),F13*F16,"Unavailable"))</x:f>
        <x:v>5200</x:v>
      </x:c>
      <x:c r="G17" s="4" t="n">
        <x:f>IF(G$8=0,"",IF(AND(G$8=1,COUNT(G13,G16)=2),G13*G16,"Unavailable"))</x:f>
        <x:v>5600</x:v>
      </x:c>
      <x:c r="H17" s="4" t="n">
        <x:f>IF(H$8=0,"",IF(AND(H$8=1,COUNT(H13,H16)=2),H13*H16,"Unavailable"))</x:f>
        <x:v>6000</x:v>
      </x:c>
      <x:c r="I17" s="4" t="n">
        <x:f>IF(I$8=0,"",IF(AND(I$8=1,COUNT(I13,I16)=2),I13*I16,"Unavailable"))</x:f>
        <x:v>6400</x:v>
      </x:c>
      <x:c r="J17" s="4" t="n">
        <x:f>IF(J$8=0,"",IF(AND(J$8=1,COUNT(J13,J16)=2),J13*J16,"Unavailable"))</x:f>
        <x:v>6800</x:v>
      </x:c>
      <x:c r="K17" s="4" t="n">
        <x:f>IF(K$8=0,"",IF(AND(K$8=1,COUNT(K13,K16)=2),K13*K16,"Unavailable"))</x:f>
        <x:v>7200</x:v>
      </x:c>
      <x:c r="L17" s="4" t="n">
        <x:f>IF(L$8=0,"",IF(AND(L$8=1,COUNT(L13,L16)=2),L13*L16,"Unavailable"))</x:f>
        <x:v>7600</x:v>
      </x:c>
      <x:c r="M17" s="4" t="n">
        <x:f>IF(M$8=0,"",IF(AND(M$8=1,COUNT(M13,M16)=2),M13*M16,"Unavailable"))</x:f>
        <x:v>8000</x:v>
      </x:c>
      <x:c r="N17" s="4" t="n">
        <x:f>IF(N$8=0,"",IF(AND(N$8=1,COUNT(N13,N16)=2),N13*N16,"Unavailable"))</x:f>
        <x:v>8000</x:v>
      </x:c>
      <x:c r="O17" s="4" t="n">
        <x:f>IF(O$8=0,"",IF(AND(O$8=1,COUNT(O13,O16)=2),O13*O16,"Unavailable"))</x:f>
        <x:v>8000</x:v>
      </x:c>
      <x:c r="P17" s="4" t="n">
        <x:f>IF(P$8=0,"",IF(AND(P$8=1,COUNT(P13,P16)=2),P13*P16,"Unavailable"))</x:f>
        <x:v>8000</x:v>
      </x:c>
      <x:c r="Q17" s="4" t="str">
        <x:f>IF(Q$8=0,"",IF(AND(Q$8=1,COUNT(Q13,Q16)=2),Q13*Q16,"Unavailable"))</x:f>
      </x:c>
      <x:c r="R17" s="4" t="str">
        <x:f>IF(R$8=0,"",IF(AND(R$8=1,COUNT(R13,R16)=2),R13*R16,"Unavailable"))</x:f>
      </x:c>
      <x:c r="S17" s="4" t="str">
        <x:f>IF(S$8=0,"",IF(AND(S$8=1,COUNT(S13,S16)=2),S13*S16,"Unavailable"))</x:f>
      </x:c>
      <x:c r="T17" s="4" t="str">
        <x:f>IF(T$8=0,"",IF(AND(T$8=1,COUNT(T13,T16)=2),T13*T16,"Unavailable"))</x:f>
      </x:c>
      <x:c r="U17" s="4" t="str">
        <x:f>IF(U$8=0,"",IF(AND(U$8=1,COUNT(U13,U16)=2),U13*U16,"Unavailable"))</x:f>
      </x:c>
      <x:c r="V17" s="4" t="str">
        <x:f>IF(V$8=0,"",IF(AND(V$8=1,COUNT(V13,V16)=2),V13*V16,"Unavailable"))</x:f>
      </x:c>
      <x:c r="W17" s="4" t="str">
        <x:f>IF(W$8=0,"",IF(AND(W$8=1,COUNT(W13,W16)=2),W13*W16,"Unavailable"))</x:f>
      </x:c>
      <x:c r="X17" s="4" t="str">
        <x:f>IF(X$8=0,"",IF(AND(X$8=1,COUNT(X13,X16)=2),X13*X16,"Unavailable"))</x:f>
      </x:c>
      <x:c r="Y17" s="4" t="str">
        <x:f>IF(Y$8=0,"",IF(AND(Y$8=1,COUNT(Y13,Y16)=2),Y13*Y16,"Unavailable"))</x:f>
      </x:c>
      <x:c r="Z17" s="4" t="str">
        <x:f>IF(Z$8=0,"",IF(AND(Z$8=1,COUNT(Z13,Z16)=2),Z13*Z16,"Unavailable"))</x:f>
      </x:c>
      <x:c r="AA17" s="4" t="str">
        <x:f>IF(AA$8=0,"",IF(AND(AA$8=1,COUNT(AA13,AA16)=2),AA13*AA16,"Unavailable"))</x:f>
      </x:c>
      <x:c r="AB17" s="4" t="str">
        <x:f>IF(AB$8=0,"",IF(AND(AB$8=1,COUNT(AB13,AB16)=2),AB13*AB16,"Unavailable"))</x:f>
      </x:c>
    </x:row>
    <x:row r="18" ht="23" customHeight="1">
      <x:c r="A18" s="1"/>
      <x:c r="B18" s="1"/>
      <x:c r="C18" s="1" t="str">
        <x:v>Fixed cash cost, USD</x:v>
      </x:c>
      <x:c r="D18" s="3"/>
      <x:c r="E18" s="35" t="n">
        <x:f>IF(E$8=0,"",IF(AND(E$8=1,COUNT('Assumptions'!E42,E10)=2),'Assumptions'!E42*E10,"Unavailable"))</x:f>
        <x:v>3000</x:v>
      </x:c>
      <x:c r="F18" s="35" t="n">
        <x:f>IF(F$8=0,"",IF(AND(F$8=1,COUNT('Assumptions'!F42,F10)=2),'Assumptions'!F42*F10,"Unavailable"))</x:f>
        <x:v>3000</x:v>
      </x:c>
      <x:c r="G18" s="35" t="n">
        <x:f>IF(G$8=0,"",IF(AND(G$8=1,COUNT('Assumptions'!G42,G10)=2),'Assumptions'!G42*G10,"Unavailable"))</x:f>
        <x:v>3000</x:v>
      </x:c>
      <x:c r="H18" s="35" t="n">
        <x:f>IF(H$8=0,"",IF(AND(H$8=1,COUNT('Assumptions'!H42,H10)=2),'Assumptions'!H42*H10,"Unavailable"))</x:f>
        <x:v>3000</x:v>
      </x:c>
      <x:c r="I18" s="35" t="n">
        <x:f>IF(I$8=0,"",IF(AND(I$8=1,COUNT('Assumptions'!I42,I10)=2),'Assumptions'!I42*I10,"Unavailable"))</x:f>
        <x:v>3000</x:v>
      </x:c>
      <x:c r="J18" s="35" t="n">
        <x:f>IF(J$8=0,"",IF(AND(J$8=1,COUNT('Assumptions'!J42,J10)=2),'Assumptions'!J42*J10,"Unavailable"))</x:f>
        <x:v>3000</x:v>
      </x:c>
      <x:c r="K18" s="35" t="n">
        <x:f>IF(K$8=0,"",IF(AND(K$8=1,COUNT('Assumptions'!K42,K10)=2),'Assumptions'!K42*K10,"Unavailable"))</x:f>
        <x:v>3000</x:v>
      </x:c>
      <x:c r="L18" s="35" t="n">
        <x:f>IF(L$8=0,"",IF(AND(L$8=1,COUNT('Assumptions'!L42,L10)=2),'Assumptions'!L42*L10,"Unavailable"))</x:f>
        <x:v>3000</x:v>
      </x:c>
      <x:c r="M18" s="35" t="n">
        <x:f>IF(M$8=0,"",IF(AND(M$8=1,COUNT('Assumptions'!M42,M10)=2),'Assumptions'!M42*M10,"Unavailable"))</x:f>
        <x:v>3000</x:v>
      </x:c>
      <x:c r="N18" s="35" t="n">
        <x:f>IF(N$8=0,"",IF(AND(N$8=1,COUNT('Assumptions'!N42,N10)=2),'Assumptions'!N42*N10,"Unavailable"))</x:f>
        <x:v>3000</x:v>
      </x:c>
      <x:c r="O18" s="35" t="n">
        <x:f>IF(O$8=0,"",IF(AND(O$8=1,COUNT('Assumptions'!O42,O10)=2),'Assumptions'!O42*O10,"Unavailable"))</x:f>
        <x:v>3000</x:v>
      </x:c>
      <x:c r="P18" s="35" t="n">
        <x:f>IF(P$8=0,"",IF(AND(P$8=1,COUNT('Assumptions'!P42,P10)=2),'Assumptions'!P42*P10,"Unavailable"))</x:f>
        <x:v>3000</x:v>
      </x:c>
      <x:c r="Q18" s="35" t="str">
        <x:f>IF(Q$8=0,"",IF(AND(Q$8=1,COUNT('Assumptions'!Q42,Q10)=2),'Assumptions'!Q42*Q10,"Unavailable"))</x:f>
      </x:c>
      <x:c r="R18" s="35" t="str">
        <x:f>IF(R$8=0,"",IF(AND(R$8=1,COUNT('Assumptions'!R42,R10)=2),'Assumptions'!R42*R10,"Unavailable"))</x:f>
      </x:c>
      <x:c r="S18" s="35" t="str">
        <x:f>IF(S$8=0,"",IF(AND(S$8=1,COUNT('Assumptions'!S42,S10)=2),'Assumptions'!S42*S10,"Unavailable"))</x:f>
      </x:c>
      <x:c r="T18" s="35" t="str">
        <x:f>IF(T$8=0,"",IF(AND(T$8=1,COUNT('Assumptions'!T42,T10)=2),'Assumptions'!T42*T10,"Unavailable"))</x:f>
      </x:c>
      <x:c r="U18" s="35" t="str">
        <x:f>IF(U$8=0,"",IF(AND(U$8=1,COUNT('Assumptions'!U42,U10)=2),'Assumptions'!U42*U10,"Unavailable"))</x:f>
      </x:c>
      <x:c r="V18" s="35" t="str">
        <x:f>IF(V$8=0,"",IF(AND(V$8=1,COUNT('Assumptions'!V42,V10)=2),'Assumptions'!V42*V10,"Unavailable"))</x:f>
      </x:c>
      <x:c r="W18" s="35" t="str">
        <x:f>IF(W$8=0,"",IF(AND(W$8=1,COUNT('Assumptions'!W42,W10)=2),'Assumptions'!W42*W10,"Unavailable"))</x:f>
      </x:c>
      <x:c r="X18" s="35" t="str">
        <x:f>IF(X$8=0,"",IF(AND(X$8=1,COUNT('Assumptions'!X42,X10)=2),'Assumptions'!X42*X10,"Unavailable"))</x:f>
      </x:c>
      <x:c r="Y18" s="35" t="str">
        <x:f>IF(Y$8=0,"",IF(AND(Y$8=1,COUNT('Assumptions'!Y42,Y10)=2),'Assumptions'!Y42*Y10,"Unavailable"))</x:f>
      </x:c>
      <x:c r="Z18" s="35" t="str">
        <x:f>IF(Z$8=0,"",IF(AND(Z$8=1,COUNT('Assumptions'!Z42,Z10)=2),'Assumptions'!Z42*Z10,"Unavailable"))</x:f>
      </x:c>
      <x:c r="AA18" s="35" t="str">
        <x:f>IF(AA$8=0,"",IF(AND(AA$8=1,COUNT('Assumptions'!AA42,AA10)=2),'Assumptions'!AA42*AA10,"Unavailable"))</x:f>
      </x:c>
      <x:c r="AB18" s="35" t="str">
        <x:f>IF(AB$8=0,"",IF(AND(AB$8=1,COUNT('Assumptions'!AB42,AB10)=2),'Assumptions'!AB42*AB10,"Unavailable"))</x:f>
      </x:c>
    </x:row>
    <x:row r="19" ht="23" customHeight="1">
      <x:c r="A19" s="1"/>
      <x:c r="B19" s="1"/>
      <x:c r="C19" s="43" t="str">
        <x:v>Operating contribution, USD</x:v>
      </x:c>
      <x:c r="D19" s="44"/>
      <x:c r="E19" s="45" t="str">
        <x:f>IF(E$8=0,"",IF(AND(E$8=1,COUNT(E15,E17,E18)=3),E15-E17-E18,"Unavailable"))</x:f>
        <x:v>Unavailable</x:v>
      </x:c>
      <x:c r="F19" s="45" t="n">
        <x:f>IF(F$8=0,"",IF(AND(F$8=1,COUNT(F15,F17,F18)=3),F15-F17-F18,"Unavailable"))</x:f>
        <x:v>4800</x:v>
      </x:c>
      <x:c r="G19" s="45" t="n">
        <x:f>IF(G$8=0,"",IF(AND(G$8=1,COUNT(G15,G17,G18)=3),G15-G17-G18,"Unavailable"))</x:f>
        <x:v>5400</x:v>
      </x:c>
      <x:c r="H19" s="45" t="n">
        <x:f>IF(H$8=0,"",IF(AND(H$8=1,COUNT(H15,H17,H18)=3),H15-H17-H18,"Unavailable"))</x:f>
        <x:v>6000</x:v>
      </x:c>
      <x:c r="I19" s="45" t="n">
        <x:f>IF(I$8=0,"",IF(AND(I$8=1,COUNT(I15,I17,I18)=3),I15-I17-I18,"Unavailable"))</x:f>
        <x:v>6600</x:v>
      </x:c>
      <x:c r="J19" s="45" t="n">
        <x:f>IF(J$8=0,"",IF(AND(J$8=1,COUNT(J15,J17,J18)=3),J15-J17-J18,"Unavailable"))</x:f>
        <x:v>7200</x:v>
      </x:c>
      <x:c r="K19" s="45" t="n">
        <x:f>IF(K$8=0,"",IF(AND(K$8=1,COUNT(K15,K17,K18)=3),K15-K17-K18,"Unavailable"))</x:f>
        <x:v>7800</x:v>
      </x:c>
      <x:c r="L19" s="45" t="n">
        <x:f>IF(L$8=0,"",IF(AND(L$8=1,COUNT(L15,L17,L18)=3),L15-L17-L18,"Unavailable"))</x:f>
        <x:v>8400</x:v>
      </x:c>
      <x:c r="M19" s="45" t="n">
        <x:f>IF(M$8=0,"",IF(AND(M$8=1,COUNT(M15,M17,M18)=3),M15-M17-M18,"Unavailable"))</x:f>
        <x:v>9000</x:v>
      </x:c>
      <x:c r="N19" s="45" t="n">
        <x:f>IF(N$8=0,"",IF(AND(N$8=1,COUNT(N15,N17,N18)=3),N15-N17-N18,"Unavailable"))</x:f>
        <x:v>9000</x:v>
      </x:c>
      <x:c r="O19" s="45" t="n">
        <x:f>IF(O$8=0,"",IF(AND(O$8=1,COUNT(O15,O17,O18)=3),O15-O17-O18,"Unavailable"))</x:f>
        <x:v>9000</x:v>
      </x:c>
      <x:c r="P19" s="45" t="n">
        <x:f>IF(P$8=0,"",IF(AND(P$8=1,COUNT(P15,P17,P18)=3),P15-P17-P18,"Unavailable"))</x:f>
        <x:v>9000</x:v>
      </x:c>
      <x:c r="Q19" s="45" t="str">
        <x:f>IF(Q$8=0,"",IF(AND(Q$8=1,COUNT(Q15,Q17,Q18)=3),Q15-Q17-Q18,"Unavailable"))</x:f>
      </x:c>
      <x:c r="R19" s="45" t="str">
        <x:f>IF(R$8=0,"",IF(AND(R$8=1,COUNT(R15,R17,R18)=3),R15-R17-R18,"Unavailable"))</x:f>
      </x:c>
      <x:c r="S19" s="45" t="str">
        <x:f>IF(S$8=0,"",IF(AND(S$8=1,COUNT(S15,S17,S18)=3),S15-S17-S18,"Unavailable"))</x:f>
      </x:c>
      <x:c r="T19" s="45" t="str">
        <x:f>IF(T$8=0,"",IF(AND(T$8=1,COUNT(T15,T17,T18)=3),T15-T17-T18,"Unavailable"))</x:f>
      </x:c>
      <x:c r="U19" s="45" t="str">
        <x:f>IF(U$8=0,"",IF(AND(U$8=1,COUNT(U15,U17,U18)=3),U15-U17-U18,"Unavailable"))</x:f>
      </x:c>
      <x:c r="V19" s="45" t="str">
        <x:f>IF(V$8=0,"",IF(AND(V$8=1,COUNT(V15,V17,V18)=3),V15-V17-V18,"Unavailable"))</x:f>
      </x:c>
      <x:c r="W19" s="45" t="str">
        <x:f>IF(W$8=0,"",IF(AND(W$8=1,COUNT(W15,W17,W18)=3),W15-W17-W18,"Unavailable"))</x:f>
      </x:c>
      <x:c r="X19" s="45" t="str">
        <x:f>IF(X$8=0,"",IF(AND(X$8=1,COUNT(X15,X17,X18)=3),X15-X17-X18,"Unavailable"))</x:f>
      </x:c>
      <x:c r="Y19" s="45" t="str">
        <x:f>IF(Y$8=0,"",IF(AND(Y$8=1,COUNT(Y15,Y17,Y18)=3),Y15-Y17-Y18,"Unavailable"))</x:f>
      </x:c>
      <x:c r="Z19" s="45" t="str">
        <x:f>IF(Z$8=0,"",IF(AND(Z$8=1,COUNT(Z15,Z17,Z18)=3),Z15-Z17-Z18,"Unavailable"))</x:f>
      </x:c>
      <x:c r="AA19" s="45" t="str">
        <x:f>IF(AA$8=0,"",IF(AND(AA$8=1,COUNT(AA15,AA17,AA18)=3),AA15-AA17-AA18,"Unavailable"))</x:f>
      </x:c>
      <x:c r="AB19" s="45" t="str">
        <x:f>IF(AB$8=0,"",IF(AND(AB$8=1,COUNT(AB15,AB17,AB18)=3),AB15-AB17-AB18,"Unavailable"))</x:f>
      </x:c>
    </x:row>
    <x:row r="20" ht="23" customHeight="1">
      <x:c r="A20" s="1"/>
      <x:c r="B20" s="1"/>
      <x:c r="C20" s="1"/>
      <x:c r="D20" s="3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  <x:c r="AA20" s="4"/>
      <x:c r="AB20" s="4"/>
    </x:row>
    <x:row r="21" ht="23" customHeight="1">
      <x:c r="A21" s="1"/>
      <x:c r="B21" s="1"/>
      <x:c r="C21" s="1"/>
      <x:c r="D21" s="3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  <x:c r="AA21" s="4"/>
      <x:c r="AB21" s="4"/>
    </x:row>
    <x:row r="22" ht="23" customHeight="1">
      <x:c r="A22" s="1"/>
      <x:c r="B22" s="1"/>
      <x:c r="C22" s="1"/>
      <x:c r="D22" s="3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  <x:c r="AA22" s="4"/>
      <x:c r="AB22" s="4"/>
    </x:row>
    <x:row r="23" ht="23" customHeight="1">
      <x:c r="A23" s="1"/>
      <x:c r="B23" s="1"/>
      <x:c r="C23" s="1"/>
      <x:c r="D23" s="3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  <x:c r="AA23" s="4"/>
      <x:c r="AB23" s="4"/>
    </x:row>
    <x:row r="24" ht="23" customHeight="1">
      <x:c r="A24" s="1"/>
      <x:c r="B24" s="1"/>
      <x:c r="C24" s="1"/>
      <x:c r="D24" s="3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  <x:c r="AA24" s="4"/>
      <x:c r="AB24" s="4"/>
    </x:row>
    <x:row r="25" ht="23" customHeight="1">
      <x:c r="A25" s="1"/>
      <x:c r="B25" s="1"/>
      <x:c r="C25" s="1"/>
      <x:c r="D25" s="3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  <x:c r="AA25" s="4"/>
      <x:c r="AB25" s="4"/>
    </x:row>
    <x:row r="26" ht="23" customHeight="1">
      <x:c r="A26" s="1"/>
      <x:c r="B26" s="1"/>
      <x:c r="C26" s="1"/>
      <x:c r="D26" s="3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  <x:c r="AA26" s="4"/>
      <x:c r="AB26" s="4"/>
    </x:row>
    <x:row r="27" ht="23" customHeight="1">
      <x:c r="A27" s="1"/>
      <x:c r="B27" s="1"/>
      <x:c r="C27" s="1"/>
      <x:c r="D27" s="3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  <x:c r="AA27" s="4"/>
      <x:c r="AB27" s="4"/>
    </x:row>
    <x:row r="28" ht="23" customHeight="1">
      <x:c r="A28" s="1"/>
      <x:c r="B28" s="1"/>
      <x:c r="C28" s="1"/>
      <x:c r="D28" s="3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  <x:c r="AA28" s="4"/>
      <x:c r="AB28" s="4"/>
    </x:row>
    <x:row r="29" ht="23" customHeight="1">
      <x:c r="A29" s="1"/>
      <x:c r="B29" s="1"/>
      <x:c r="C29" s="1"/>
      <x:c r="D29" s="3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  <x:c r="AA29" s="4"/>
      <x:c r="AB29" s="4"/>
    </x:row>
    <x:row r="30" ht="23" customHeight="1">
      <x:c r="A30" s="1"/>
      <x:c r="B30" s="1"/>
      <x:c r="C30" s="1"/>
      <x:c r="D30" s="3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  <x:c r="AA30" s="4"/>
      <x:c r="AB30" s="4"/>
    </x:row>
    <x:row r="31" ht="23" customHeight="1">
      <x:c r="A31" s="1"/>
      <x:c r="B31" s="1"/>
      <x:c r="C31" s="1"/>
      <x:c r="D31" s="3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  <x:c r="AA31" s="4"/>
      <x:c r="AB31" s="4"/>
    </x:row>
    <x:row r="32" ht="23" customHeight="1">
      <x:c r="A32" s="1"/>
      <x:c r="B32" s="1"/>
      <x:c r="C32" s="1"/>
      <x:c r="D32" s="3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  <x:c r="AA32" s="4"/>
      <x:c r="AB32" s="4"/>
    </x:row>
    <x:row r="33" ht="23" customHeight="1">
      <x:c r="A33" s="1"/>
      <x:c r="B33" s="1"/>
      <x:c r="C33" s="1"/>
      <x:c r="D33" s="3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  <x:c r="AA33" s="4"/>
      <x:c r="AB33" s="4"/>
    </x:row>
    <x:row r="34" ht="23" customHeight="1">
      <x:c r="A34" s="1"/>
      <x:c r="B34" s="1"/>
      <x:c r="C34" s="1"/>
      <x:c r="D34" s="3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  <x:c r="AA34" s="4"/>
      <x:c r="AB34" s="4"/>
    </x:row>
    <x:row r="35" ht="23" customHeight="1">
      <x:c r="A35" s="1"/>
      <x:c r="B35" s="1"/>
      <x:c r="C35" s="1"/>
      <x:c r="D35" s="3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  <x:c r="AA35" s="4"/>
      <x:c r="AB35" s="4"/>
    </x:row>
    <x:row r="36" ht="23" customHeight="1">
      <x:c r="A36" s="1"/>
      <x:c r="B36" s="1"/>
      <x:c r="C36" s="1"/>
      <x:c r="D36" s="3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  <x:c r="AA36" s="4"/>
      <x:c r="AB36" s="4"/>
    </x:row>
    <x:row r="37" ht="23" customHeight="1">
      <x:c r="A37" s="1"/>
      <x:c r="B37" s="1"/>
      <x:c r="C37" s="1"/>
      <x:c r="D37" s="3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  <x:c r="AA37" s="4"/>
      <x:c r="AB37" s="4"/>
    </x:row>
    <x:row r="38" ht="23" customHeight="1">
      <x:c r="A38" s="1"/>
      <x:c r="B38" s="1"/>
      <x:c r="C38" s="1"/>
      <x:c r="D38" s="3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  <x:c r="AA38" s="4"/>
      <x:c r="AB38" s="4"/>
    </x:row>
    <x:row r="39" ht="23" customHeight="1">
      <x:c r="A39" s="1"/>
      <x:c r="B39" s="1"/>
      <x:c r="C39" s="1"/>
      <x:c r="D39" s="3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  <x:c r="AA39" s="4"/>
      <x:c r="AB39" s="4"/>
    </x:row>
    <x:row r="40" ht="23" customHeight="1">
      <x:c r="A40" s="1"/>
      <x:c r="B40" s="1"/>
      <x:c r="C40" s="1"/>
      <x:c r="D40" s="3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  <x:c r="AA40" s="4"/>
      <x:c r="AB40" s="4"/>
    </x:row>
    <x:row r="41" ht="23" customHeight="1">
      <x:c r="A41" s="1"/>
      <x:c r="B41" s="1"/>
      <x:c r="C41" s="1"/>
      <x:c r="D41" s="3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  <x:c r="AA41" s="4"/>
      <x:c r="AB41" s="4"/>
    </x:row>
    <x:row r="42" ht="23" customHeight="1">
      <x:c r="A42" s="1"/>
      <x:c r="B42" s="1"/>
      <x:c r="C42" s="1"/>
      <x:c r="D42" s="3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  <x:c r="AA42" s="4"/>
      <x:c r="AB42" s="4"/>
    </x:row>
    <x:row r="43" ht="23" customHeight="1">
      <x:c r="A43" s="1"/>
      <x:c r="B43" s="1"/>
      <x:c r="C43" s="1"/>
      <x:c r="D43" s="3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  <x:c r="AA43" s="4"/>
      <x:c r="AB43" s="4"/>
    </x:row>
    <x:row r="44" ht="23" customHeight="1">
      <x:c r="A44" s="1"/>
      <x:c r="B44" s="1"/>
      <x:c r="C44" s="1"/>
      <x:c r="D44" s="3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  <x:c r="AA44" s="4"/>
      <x:c r="AB44" s="4"/>
    </x:row>
    <x:row r="45" ht="23" customHeight="1">
      <x:c r="A45" s="1"/>
      <x:c r="B45" s="1"/>
      <x:c r="C45" s="1"/>
      <x:c r="D45" s="3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  <x:c r="AA45" s="4"/>
      <x:c r="AB45" s="4"/>
    </x:row>
    <x:row r="46" ht="23" customHeight="1">
      <x:c r="A46" s="1"/>
      <x:c r="B46" s="1"/>
      <x:c r="C46" s="1"/>
      <x:c r="D46" s="3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  <x:c r="AA46" s="4"/>
      <x:c r="AB46" s="4"/>
    </x:row>
    <x:row r="47" ht="23" customHeight="1">
      <x:c r="A47" s="1"/>
      <x:c r="B47" s="1"/>
      <x:c r="C47" s="1"/>
      <x:c r="D47" s="3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  <x:c r="AA47" s="4"/>
      <x:c r="AB47" s="4"/>
    </x:row>
    <x:row r="48" ht="23" customHeight="1">
      <x:c r="A48" s="1"/>
      <x:c r="B48" s="1"/>
      <x:c r="C48" s="1"/>
      <x:c r="D48" s="3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  <x:c r="AA48" s="4"/>
      <x:c r="AB48" s="4"/>
    </x:row>
    <x:row r="49" ht="23" customHeight="1">
      <x:c r="A49" s="1"/>
      <x:c r="B49" s="1"/>
      <x:c r="C49" s="1"/>
      <x:c r="D49" s="3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</x:row>
    <x:row r="50" ht="23" customHeight="1">
      <x:c r="A50" s="1"/>
      <x:c r="B50" s="1"/>
      <x:c r="C50" s="1"/>
      <x:c r="D50" s="3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</x:row>
    <x:row r="2" ht="23" customHeight="1">
      <x:c r="A2" s="1"/>
      <x:c r="B2" s="1"/>
      <x:c r="C2" s="6" t="str">
        <x:v>Collections</x:v>
      </x:c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</x:row>
    <x:row r="3" ht="23" customHeight="1">
      <x:c r="A3" s="1"/>
      <x:c r="B3" s="1"/>
      <x:c r="C3" s="1" t="str">
        <x:v>Case selected</x:v>
      </x:c>
      <x:c r="D3" s="8" t="str">
        <x:f>IF(AND(COUNT('Assumptions'!D6)=1,'Assumptions'!D6=INT('Assumptions'!D6),'Assumptions'!D6&gt;=1,'Assumptions'!D6&lt;=3),CHOOSE('Assumptions'!D6,"Base","Downside","Upside"),"Invalid case")</x:f>
        <x:v>Base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</x:row>
    <x:row r="6" ht="23" customHeight="1">
      <x:c r="A6" s="1"/>
      <x:c r="B6" s="1"/>
      <x:c r="C6" s="1" t="str">
        <x:v>Period index</x:v>
      </x:c>
      <x:c r="D6" s="3"/>
      <x:c r="E6" s="36" t="n">
        <x:f>'Assumptions'!E17</x:f>
        <x:v>1</x:v>
      </x:c>
      <x:c r="F6" s="36" t="n">
        <x:f>'Assumptions'!F17</x:f>
        <x:v>2</x:v>
      </x:c>
      <x:c r="G6" s="36" t="n">
        <x:f>'Assumptions'!G17</x:f>
        <x:v>3</x:v>
      </x:c>
      <x:c r="H6" s="36" t="n">
        <x:f>'Assumptions'!H17</x:f>
        <x:v>4</x:v>
      </x:c>
      <x:c r="I6" s="36" t="n">
        <x:f>'Assumptions'!I17</x:f>
        <x:v>5</x:v>
      </x:c>
      <x:c r="J6" s="36" t="n">
        <x:f>'Assumptions'!J17</x:f>
        <x:v>6</x:v>
      </x:c>
      <x:c r="K6" s="36" t="n">
        <x:f>'Assumptions'!K17</x:f>
        <x:v>7</x:v>
      </x:c>
      <x:c r="L6" s="36" t="n">
        <x:f>'Assumptions'!L17</x:f>
        <x:v>8</x:v>
      </x:c>
      <x:c r="M6" s="36" t="n">
        <x:f>'Assumptions'!M17</x:f>
        <x:v>9</x:v>
      </x:c>
      <x:c r="N6" s="36" t="n">
        <x:f>'Assumptions'!N17</x:f>
        <x:v>10</x:v>
      </x:c>
      <x:c r="O6" s="36" t="n">
        <x:f>'Assumptions'!O17</x:f>
        <x:v>11</x:v>
      </x:c>
      <x:c r="P6" s="36" t="n">
        <x:f>'Assumptions'!P17</x:f>
        <x:v>12</x:v>
      </x:c>
      <x:c r="Q6" s="36" t="n">
        <x:f>'Assumptions'!Q17</x:f>
        <x:v>13</x:v>
      </x:c>
      <x:c r="R6" s="36" t="n">
        <x:f>'Assumptions'!R17</x:f>
        <x:v>14</x:v>
      </x:c>
      <x:c r="S6" s="36" t="n">
        <x:f>'Assumptions'!S17</x:f>
        <x:v>15</x:v>
      </x:c>
      <x:c r="T6" s="36" t="n">
        <x:f>'Assumptions'!T17</x:f>
        <x:v>16</x:v>
      </x:c>
      <x:c r="U6" s="36" t="n">
        <x:f>'Assumptions'!U17</x:f>
        <x:v>17</x:v>
      </x:c>
      <x:c r="V6" s="36" t="n">
        <x:f>'Assumptions'!V17</x:f>
        <x:v>18</x:v>
      </x:c>
      <x:c r="W6" s="36" t="n">
        <x:f>'Assumptions'!W17</x:f>
        <x:v>19</x:v>
      </x:c>
      <x:c r="X6" s="36" t="n">
        <x:f>'Assumptions'!X17</x:f>
        <x:v>20</x:v>
      </x:c>
      <x:c r="Y6" s="36" t="n">
        <x:f>'Assumptions'!Y17</x:f>
        <x:v>21</x:v>
      </x:c>
      <x:c r="Z6" s="36" t="n">
        <x:f>'Assumptions'!Z17</x:f>
        <x:v>22</x:v>
      </x:c>
      <x:c r="AA6" s="36" t="n">
        <x:f>'Assumptions'!AA17</x:f>
        <x:v>23</x:v>
      </x:c>
      <x:c r="AB6" s="36" t="n">
        <x:f>'Assumptions'!AB17</x:f>
        <x:v>24</x:v>
      </x:c>
    </x:row>
    <x:row r="7" ht="23" customHeight="1">
      <x:c r="A7" s="1"/>
      <x:c r="B7" s="1"/>
      <x:c r="C7" s="23" t="str">
        <x:v>Forecast month</x:v>
      </x:c>
      <x:c r="D7" s="24"/>
      <x:c r="E7" s="34" t="n">
        <x:f>'Assumptions'!E18</x:f>
        <x:v>46388</x:v>
      </x:c>
      <x:c r="F7" s="34" t="n">
        <x:f>'Assumptions'!F18</x:f>
        <x:v>46419</x:v>
      </x:c>
      <x:c r="G7" s="34" t="n">
        <x:f>'Assumptions'!G18</x:f>
        <x:v>46447</x:v>
      </x:c>
      <x:c r="H7" s="34" t="n">
        <x:f>'Assumptions'!H18</x:f>
        <x:v>46478</x:v>
      </x:c>
      <x:c r="I7" s="34" t="n">
        <x:f>'Assumptions'!I18</x:f>
        <x:v>46508</x:v>
      </x:c>
      <x:c r="J7" s="34" t="n">
        <x:f>'Assumptions'!J18</x:f>
        <x:v>46539</x:v>
      </x:c>
      <x:c r="K7" s="34" t="n">
        <x:f>'Assumptions'!K18</x:f>
        <x:v>46569</x:v>
      </x:c>
      <x:c r="L7" s="34" t="n">
        <x:f>'Assumptions'!L18</x:f>
        <x:v>46600</x:v>
      </x:c>
      <x:c r="M7" s="34" t="n">
        <x:f>'Assumptions'!M18</x:f>
        <x:v>46631</x:v>
      </x:c>
      <x:c r="N7" s="34" t="n">
        <x:f>'Assumptions'!N18</x:f>
        <x:v>46661</x:v>
      </x:c>
      <x:c r="O7" s="34" t="n">
        <x:f>'Assumptions'!O18</x:f>
        <x:v>46692</x:v>
      </x:c>
      <x:c r="P7" s="34" t="n">
        <x:f>'Assumptions'!P18</x:f>
        <x:v>46722</x:v>
      </x:c>
      <x:c r="Q7" s="34" t="n">
        <x:f>'Assumptions'!Q18</x:f>
        <x:v>46753</x:v>
      </x:c>
      <x:c r="R7" s="34" t="n">
        <x:f>'Assumptions'!R18</x:f>
        <x:v>46784</x:v>
      </x:c>
      <x:c r="S7" s="34" t="n">
        <x:f>'Assumptions'!S18</x:f>
        <x:v>46813</x:v>
      </x:c>
      <x:c r="T7" s="34" t="n">
        <x:f>'Assumptions'!T18</x:f>
        <x:v>46844</x:v>
      </x:c>
      <x:c r="U7" s="34" t="n">
        <x:f>'Assumptions'!U18</x:f>
        <x:v>46874</x:v>
      </x:c>
      <x:c r="V7" s="34" t="n">
        <x:f>'Assumptions'!V18</x:f>
        <x:v>46905</x:v>
      </x:c>
      <x:c r="W7" s="34" t="n">
        <x:f>'Assumptions'!W18</x:f>
        <x:v>46935</x:v>
      </x:c>
      <x:c r="X7" s="34" t="n">
        <x:f>'Assumptions'!X18</x:f>
        <x:v>46966</x:v>
      </x:c>
      <x:c r="Y7" s="34" t="n">
        <x:f>'Assumptions'!Y18</x:f>
        <x:v>46997</x:v>
      </x:c>
      <x:c r="Z7" s="34" t="n">
        <x:f>'Assumptions'!Z18</x:f>
        <x:v>47027</x:v>
      </x:c>
      <x:c r="AA7" s="34" t="n">
        <x:f>'Assumptions'!AA18</x:f>
        <x:v>47058</x:v>
      </x:c>
      <x:c r="AB7" s="34" t="n">
        <x:f>'Assumptions'!AB18</x:f>
        <x:v>47088</x:v>
      </x:c>
    </x:row>
    <x:row r="8" ht="23" customHeight="1">
      <x:c r="A8" s="1"/>
      <x:c r="B8" s="1"/>
      <x:c r="C8" s="1" t="str">
        <x:v>Active period</x:v>
      </x:c>
      <x:c r="D8" s="3"/>
      <x:c r="E8" s="36" t="n">
        <x:f>'Assumptions'!E19</x:f>
        <x:v>1</x:v>
      </x:c>
      <x:c r="F8" s="36" t="n">
        <x:f>'Assumptions'!F19</x:f>
        <x:v>1</x:v>
      </x:c>
      <x:c r="G8" s="36" t="n">
        <x:f>'Assumptions'!G19</x:f>
        <x:v>1</x:v>
      </x:c>
      <x:c r="H8" s="36" t="n">
        <x:f>'Assumptions'!H19</x:f>
        <x:v>1</x:v>
      </x:c>
      <x:c r="I8" s="36" t="n">
        <x:f>'Assumptions'!I19</x:f>
        <x:v>1</x:v>
      </x:c>
      <x:c r="J8" s="36" t="n">
        <x:f>'Assumptions'!J19</x:f>
        <x:v>1</x:v>
      </x:c>
      <x:c r="K8" s="36" t="n">
        <x:f>'Assumptions'!K19</x:f>
        <x:v>1</x:v>
      </x:c>
      <x:c r="L8" s="36" t="n">
        <x:f>'Assumptions'!L19</x:f>
        <x:v>1</x:v>
      </x:c>
      <x:c r="M8" s="36" t="n">
        <x:f>'Assumptions'!M19</x:f>
        <x:v>1</x:v>
      </x:c>
      <x:c r="N8" s="36" t="n">
        <x:f>'Assumptions'!N19</x:f>
        <x:v>1</x:v>
      </x:c>
      <x:c r="O8" s="36" t="n">
        <x:f>'Assumptions'!O19</x:f>
        <x:v>1</x:v>
      </x:c>
      <x:c r="P8" s="36" t="n">
        <x:f>'Assumptions'!P19</x:f>
        <x:v>1</x:v>
      </x:c>
      <x:c r="Q8" s="36" t="n">
        <x:f>'Assumptions'!Q19</x:f>
        <x:v>0</x:v>
      </x:c>
      <x:c r="R8" s="36" t="n">
        <x:f>'Assumptions'!R19</x:f>
        <x:v>0</x:v>
      </x:c>
      <x:c r="S8" s="36" t="n">
        <x:f>'Assumptions'!S19</x:f>
        <x:v>0</x:v>
      </x:c>
      <x:c r="T8" s="36" t="n">
        <x:f>'Assumptions'!T19</x:f>
        <x:v>0</x:v>
      </x:c>
      <x:c r="U8" s="36" t="n">
        <x:f>'Assumptions'!U19</x:f>
        <x:v>0</x:v>
      </x:c>
      <x:c r="V8" s="36" t="n">
        <x:f>'Assumptions'!V19</x:f>
        <x:v>0</x:v>
      </x:c>
      <x:c r="W8" s="36" t="n">
        <x:f>'Assumptions'!W19</x:f>
        <x:v>0</x:v>
      </x:c>
      <x:c r="X8" s="36" t="n">
        <x:f>'Assumptions'!X19</x:f>
        <x:v>0</x:v>
      </x:c>
      <x:c r="Y8" s="36" t="n">
        <x:f>'Assumptions'!Y19</x:f>
        <x:v>0</x:v>
      </x:c>
      <x:c r="Z8" s="36" t="n">
        <x:f>'Assumptions'!Z19</x:f>
        <x:v>0</x:v>
      </x:c>
      <x:c r="AA8" s="36" t="n">
        <x:f>'Assumptions'!AA19</x:f>
        <x:v>0</x:v>
      </x:c>
      <x:c r="AB8" s="36" t="n">
        <x:f>'Assumptions'!AB19</x:f>
        <x:v>0</x:v>
      </x:c>
    </x:row>
    <x:row r="9" ht="23" customHeight="1">
      <x:c r="A9" s="1"/>
      <x:c r="B9" s="1"/>
      <x:c r="C9" s="1"/>
      <x:c r="D9" s="3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  <x:c r="AA9" s="4"/>
      <x:c r="AB9" s="4"/>
    </x:row>
    <x:row r="10" ht="23" customHeight="1">
      <x:c r="A10" s="1"/>
      <x:c r="B10" s="1"/>
      <x:c r="C10" s="1" t="str">
        <x:v>Opening receivables, USD</x:v>
      </x:c>
      <x:c r="D10" s="3"/>
      <x:c r="E10" s="35" t="n">
        <x:f>IF(E$8=0,"",IF(AND(E$8=1,COUNT('Sources'!$D$8)=1),'Sources'!$D$8,"Unavailable"))</x:f>
        <x:v>0</x:v>
      </x:c>
      <x:c r="F10" s="35" t="str">
        <x:f>IF(F$8=0,"",IF(AND(F$8=1,COUNT('Collections'!E14)=1),'Collections'!E14,"Unavailable"))</x:f>
        <x:v>Unavailable</x:v>
      </x:c>
      <x:c r="G10" s="35" t="n">
        <x:f>IF(G$8=0,"",IF(AND(G$8=1,COUNT('Collections'!F14)=1),'Collections'!F14,"Unavailable"))</x:f>
        <x:v>3250</x:v>
      </x:c>
      <x:c r="H10" s="35" t="n">
        <x:f>IF(H$8=0,"",IF(AND(H$8=1,COUNT('Collections'!G14)=1),'Collections'!G14,"Unavailable"))</x:f>
        <x:v>3500</x:v>
      </x:c>
      <x:c r="I10" s="35" t="n">
        <x:f>IF(I$8=0,"",IF(AND(I$8=1,COUNT('Collections'!H14)=1),'Collections'!H14,"Unavailable"))</x:f>
        <x:v>3750</x:v>
      </x:c>
      <x:c r="J10" s="35" t="n">
        <x:f>IF(J$8=0,"",IF(AND(J$8=1,COUNT('Collections'!I14)=1),'Collections'!I14,"Unavailable"))</x:f>
        <x:v>4000</x:v>
      </x:c>
      <x:c r="K10" s="35" t="n">
        <x:f>IF(K$8=0,"",IF(AND(K$8=1,COUNT('Collections'!J14)=1),'Collections'!J14,"Unavailable"))</x:f>
        <x:v>4250</x:v>
      </x:c>
      <x:c r="L10" s="35" t="n">
        <x:f>IF(L$8=0,"",IF(AND(L$8=1,COUNT('Collections'!K14)=1),'Collections'!K14,"Unavailable"))</x:f>
        <x:v>4500</x:v>
      </x:c>
      <x:c r="M10" s="35" t="n">
        <x:f>IF(M$8=0,"",IF(AND(M$8=1,COUNT('Collections'!L14)=1),'Collections'!L14,"Unavailable"))</x:f>
        <x:v>4750</x:v>
      </x:c>
      <x:c r="N10" s="35" t="n">
        <x:f>IF(N$8=0,"",IF(AND(N$8=1,COUNT('Collections'!M14)=1),'Collections'!M14,"Unavailable"))</x:f>
        <x:v>5000</x:v>
      </x:c>
      <x:c r="O10" s="35" t="n">
        <x:f>IF(O$8=0,"",IF(AND(O$8=1,COUNT('Collections'!N14)=1),'Collections'!N14,"Unavailable"))</x:f>
        <x:v>5000</x:v>
      </x:c>
      <x:c r="P10" s="35" t="n">
        <x:f>IF(P$8=0,"",IF(AND(P$8=1,COUNT('Collections'!O14)=1),'Collections'!O14,"Unavailable"))</x:f>
        <x:v>5000</x:v>
      </x:c>
      <x:c r="Q10" s="35" t="str">
        <x:f>IF(Q$8=0,"",IF(AND(Q$8=1,COUNT('Collections'!P14)=1),'Collections'!P14,"Unavailable"))</x:f>
      </x:c>
      <x:c r="R10" s="35" t="str">
        <x:f>IF(R$8=0,"",IF(AND(R$8=1,COUNT('Collections'!Q14)=1),'Collections'!Q14,"Unavailable"))</x:f>
      </x:c>
      <x:c r="S10" s="35" t="str">
        <x:f>IF(S$8=0,"",IF(AND(S$8=1,COUNT('Collections'!R14)=1),'Collections'!R14,"Unavailable"))</x:f>
      </x:c>
      <x:c r="T10" s="35" t="str">
        <x:f>IF(T$8=0,"",IF(AND(T$8=1,COUNT('Collections'!S14)=1),'Collections'!S14,"Unavailable"))</x:f>
      </x:c>
      <x:c r="U10" s="35" t="str">
        <x:f>IF(U$8=0,"",IF(AND(U$8=1,COUNT('Collections'!T14)=1),'Collections'!T14,"Unavailable"))</x:f>
      </x:c>
      <x:c r="V10" s="35" t="str">
        <x:f>IF(V$8=0,"",IF(AND(V$8=1,COUNT('Collections'!U14)=1),'Collections'!U14,"Unavailable"))</x:f>
      </x:c>
      <x:c r="W10" s="35" t="str">
        <x:f>IF(W$8=0,"",IF(AND(W$8=1,COUNT('Collections'!V14)=1),'Collections'!V14,"Unavailable"))</x:f>
      </x:c>
      <x:c r="X10" s="35" t="str">
        <x:f>IF(X$8=0,"",IF(AND(X$8=1,COUNT('Collections'!W14)=1),'Collections'!W14,"Unavailable"))</x:f>
      </x:c>
      <x:c r="Y10" s="35" t="str">
        <x:f>IF(Y$8=0,"",IF(AND(Y$8=1,COUNT('Collections'!X14)=1),'Collections'!X14,"Unavailable"))</x:f>
      </x:c>
      <x:c r="Z10" s="35" t="str">
        <x:f>IF(Z$8=0,"",IF(AND(Z$8=1,COUNT('Collections'!Y14)=1),'Collections'!Y14,"Unavailable"))</x:f>
      </x:c>
      <x:c r="AA10" s="35" t="str">
        <x:f>IF(AA$8=0,"",IF(AND(AA$8=1,COUNT('Collections'!Z14)=1),'Collections'!Z14,"Unavailable"))</x:f>
      </x:c>
      <x:c r="AB10" s="35" t="str">
        <x:f>IF(AB$8=0,"",IF(AND(AB$8=1,COUNT('Collections'!AA14)=1),'Collections'!AA14,"Unavailable"))</x:f>
      </x:c>
    </x:row>
    <x:row r="11" ht="23" customHeight="1">
      <x:c r="A11" s="1"/>
      <x:c r="B11" s="1"/>
      <x:c r="C11" s="1" t="str">
        <x:v>Earned revenue, USD</x:v>
      </x:c>
      <x:c r="D11" s="3"/>
      <x:c r="E11" s="35" t="str">
        <x:f>IF(E$8=0,"",IF(AND(E$8=1,COUNT('Operations'!E15)=1),'Operations'!E15,"Unavailable"))</x:f>
        <x:v>Unavailable</x:v>
      </x:c>
      <x:c r="F11" s="35" t="n">
        <x:f>IF(F$8=0,"",IF(AND(F$8=1,COUNT('Operations'!F15)=1),'Operations'!F15,"Unavailable"))</x:f>
        <x:v>13000</x:v>
      </x:c>
      <x:c r="G11" s="35" t="n">
        <x:f>IF(G$8=0,"",IF(AND(G$8=1,COUNT('Operations'!G15)=1),'Operations'!G15,"Unavailable"))</x:f>
        <x:v>14000</x:v>
      </x:c>
      <x:c r="H11" s="35" t="n">
        <x:f>IF(H$8=0,"",IF(AND(H$8=1,COUNT('Operations'!H15)=1),'Operations'!H15,"Unavailable"))</x:f>
        <x:v>15000</x:v>
      </x:c>
      <x:c r="I11" s="35" t="n">
        <x:f>IF(I$8=0,"",IF(AND(I$8=1,COUNT('Operations'!I15)=1),'Operations'!I15,"Unavailable"))</x:f>
        <x:v>16000</x:v>
      </x:c>
      <x:c r="J11" s="35" t="n">
        <x:f>IF(J$8=0,"",IF(AND(J$8=1,COUNT('Operations'!J15)=1),'Operations'!J15,"Unavailable"))</x:f>
        <x:v>17000</x:v>
      </x:c>
      <x:c r="K11" s="35" t="n">
        <x:f>IF(K$8=0,"",IF(AND(K$8=1,COUNT('Operations'!K15)=1),'Operations'!K15,"Unavailable"))</x:f>
        <x:v>18000</x:v>
      </x:c>
      <x:c r="L11" s="35" t="n">
        <x:f>IF(L$8=0,"",IF(AND(L$8=1,COUNT('Operations'!L15)=1),'Operations'!L15,"Unavailable"))</x:f>
        <x:v>19000</x:v>
      </x:c>
      <x:c r="M11" s="35" t="n">
        <x:f>IF(M$8=0,"",IF(AND(M$8=1,COUNT('Operations'!M15)=1),'Operations'!M15,"Unavailable"))</x:f>
        <x:v>20000</x:v>
      </x:c>
      <x:c r="N11" s="35" t="n">
        <x:f>IF(N$8=0,"",IF(AND(N$8=1,COUNT('Operations'!N15)=1),'Operations'!N15,"Unavailable"))</x:f>
        <x:v>20000</x:v>
      </x:c>
      <x:c r="O11" s="35" t="n">
        <x:f>IF(O$8=0,"",IF(AND(O$8=1,COUNT('Operations'!O15)=1),'Operations'!O15,"Unavailable"))</x:f>
        <x:v>20000</x:v>
      </x:c>
      <x:c r="P11" s="35" t="n">
        <x:f>IF(P$8=0,"",IF(AND(P$8=1,COUNT('Operations'!P15)=1),'Operations'!P15,"Unavailable"))</x:f>
        <x:v>20000</x:v>
      </x:c>
      <x:c r="Q11" s="35" t="str">
        <x:f>IF(Q$8=0,"",IF(AND(Q$8=1,COUNT('Operations'!Q15)=1),'Operations'!Q15,"Unavailable"))</x:f>
      </x:c>
      <x:c r="R11" s="35" t="str">
        <x:f>IF(R$8=0,"",IF(AND(R$8=1,COUNT('Operations'!R15)=1),'Operations'!R15,"Unavailable"))</x:f>
      </x:c>
      <x:c r="S11" s="35" t="str">
        <x:f>IF(S$8=0,"",IF(AND(S$8=1,COUNT('Operations'!S15)=1),'Operations'!S15,"Unavailable"))</x:f>
      </x:c>
      <x:c r="T11" s="35" t="str">
        <x:f>IF(T$8=0,"",IF(AND(T$8=1,COUNT('Operations'!T15)=1),'Operations'!T15,"Unavailable"))</x:f>
      </x:c>
      <x:c r="U11" s="35" t="str">
        <x:f>IF(U$8=0,"",IF(AND(U$8=1,COUNT('Operations'!U15)=1),'Operations'!U15,"Unavailable"))</x:f>
      </x:c>
      <x:c r="V11" s="35" t="str">
        <x:f>IF(V$8=0,"",IF(AND(V$8=1,COUNT('Operations'!V15)=1),'Operations'!V15,"Unavailable"))</x:f>
      </x:c>
      <x:c r="W11" s="35" t="str">
        <x:f>IF(W$8=0,"",IF(AND(W$8=1,COUNT('Operations'!W15)=1),'Operations'!W15,"Unavailable"))</x:f>
      </x:c>
      <x:c r="X11" s="35" t="str">
        <x:f>IF(X$8=0,"",IF(AND(X$8=1,COUNT('Operations'!X15)=1),'Operations'!X15,"Unavailable"))</x:f>
      </x:c>
      <x:c r="Y11" s="35" t="str">
        <x:f>IF(Y$8=0,"",IF(AND(Y$8=1,COUNT('Operations'!Y15)=1),'Operations'!Y15,"Unavailable"))</x:f>
      </x:c>
      <x:c r="Z11" s="35" t="str">
        <x:f>IF(Z$8=0,"",IF(AND(Z$8=1,COUNT('Operations'!Z15)=1),'Operations'!Z15,"Unavailable"))</x:f>
      </x:c>
      <x:c r="AA11" s="35" t="str">
        <x:f>IF(AA$8=0,"",IF(AND(AA$8=1,COUNT('Operations'!AA15)=1),'Operations'!AA15,"Unavailable"))</x:f>
      </x:c>
      <x:c r="AB11" s="35" t="str">
        <x:f>IF(AB$8=0,"",IF(AND(AB$8=1,COUNT('Operations'!AB15)=1),'Operations'!AB15,"Unavailable"))</x:f>
      </x:c>
    </x:row>
    <x:row r="12" ht="23" customHeight="1">
      <x:c r="A12" s="1"/>
      <x:c r="B12" s="1"/>
      <x:c r="C12" s="1" t="str">
        <x:v>Current-month collection share</x:v>
      </x:c>
      <x:c r="D12" s="3"/>
      <x:c r="E12" s="39" t="n">
        <x:f>IF(E$8=0,"",IF(AND(E$8=1,COUNT('Assumptions'!E47)=1),'Assumptions'!E47,"Unavailable"))</x:f>
        <x:v>0.75</x:v>
      </x:c>
      <x:c r="F12" s="39" t="n">
        <x:f>IF(F$8=0,"",IF(AND(F$8=1,COUNT('Assumptions'!F47)=1),'Assumptions'!F47,"Unavailable"))</x:f>
        <x:v>0.75</x:v>
      </x:c>
      <x:c r="G12" s="39" t="n">
        <x:f>IF(G$8=0,"",IF(AND(G$8=1,COUNT('Assumptions'!G47)=1),'Assumptions'!G47,"Unavailable"))</x:f>
        <x:v>0.75</x:v>
      </x:c>
      <x:c r="H12" s="39" t="n">
        <x:f>IF(H$8=0,"",IF(AND(H$8=1,COUNT('Assumptions'!H47)=1),'Assumptions'!H47,"Unavailable"))</x:f>
        <x:v>0.75</x:v>
      </x:c>
      <x:c r="I12" s="39" t="n">
        <x:f>IF(I$8=0,"",IF(AND(I$8=1,COUNT('Assumptions'!I47)=1),'Assumptions'!I47,"Unavailable"))</x:f>
        <x:v>0.75</x:v>
      </x:c>
      <x:c r="J12" s="39" t="n">
        <x:f>IF(J$8=0,"",IF(AND(J$8=1,COUNT('Assumptions'!J47)=1),'Assumptions'!J47,"Unavailable"))</x:f>
        <x:v>0.75</x:v>
      </x:c>
      <x:c r="K12" s="39" t="n">
        <x:f>IF(K$8=0,"",IF(AND(K$8=1,COUNT('Assumptions'!K47)=1),'Assumptions'!K47,"Unavailable"))</x:f>
        <x:v>0.75</x:v>
      </x:c>
      <x:c r="L12" s="39" t="n">
        <x:f>IF(L$8=0,"",IF(AND(L$8=1,COUNT('Assumptions'!L47)=1),'Assumptions'!L47,"Unavailable"))</x:f>
        <x:v>0.75</x:v>
      </x:c>
      <x:c r="M12" s="39" t="n">
        <x:f>IF(M$8=0,"",IF(AND(M$8=1,COUNT('Assumptions'!M47)=1),'Assumptions'!M47,"Unavailable"))</x:f>
        <x:v>0.75</x:v>
      </x:c>
      <x:c r="N12" s="39" t="n">
        <x:f>IF(N$8=0,"",IF(AND(N$8=1,COUNT('Assumptions'!N47)=1),'Assumptions'!N47,"Unavailable"))</x:f>
        <x:v>0.75</x:v>
      </x:c>
      <x:c r="O12" s="39" t="n">
        <x:f>IF(O$8=0,"",IF(AND(O$8=1,COUNT('Assumptions'!O47)=1),'Assumptions'!O47,"Unavailable"))</x:f>
        <x:v>0.75</x:v>
      </x:c>
      <x:c r="P12" s="39" t="n">
        <x:f>IF(P$8=0,"",IF(AND(P$8=1,COUNT('Assumptions'!P47)=1),'Assumptions'!P47,"Unavailable"))</x:f>
        <x:v>0.75</x:v>
      </x:c>
      <x:c r="Q12" s="39" t="str">
        <x:f>IF(Q$8=0,"",IF(AND(Q$8=1,COUNT('Assumptions'!Q47)=1),'Assumptions'!Q47,"Unavailable"))</x:f>
      </x:c>
      <x:c r="R12" s="39" t="str">
        <x:f>IF(R$8=0,"",IF(AND(R$8=1,COUNT('Assumptions'!R47)=1),'Assumptions'!R47,"Unavailable"))</x:f>
      </x:c>
      <x:c r="S12" s="39" t="str">
        <x:f>IF(S$8=0,"",IF(AND(S$8=1,COUNT('Assumptions'!S47)=1),'Assumptions'!S47,"Unavailable"))</x:f>
      </x:c>
      <x:c r="T12" s="39" t="str">
        <x:f>IF(T$8=0,"",IF(AND(T$8=1,COUNT('Assumptions'!T47)=1),'Assumptions'!T47,"Unavailable"))</x:f>
      </x:c>
      <x:c r="U12" s="39" t="str">
        <x:f>IF(U$8=0,"",IF(AND(U$8=1,COUNT('Assumptions'!U47)=1),'Assumptions'!U47,"Unavailable"))</x:f>
      </x:c>
      <x:c r="V12" s="39" t="str">
        <x:f>IF(V$8=0,"",IF(AND(V$8=1,COUNT('Assumptions'!V47)=1),'Assumptions'!V47,"Unavailable"))</x:f>
      </x:c>
      <x:c r="W12" s="39" t="str">
        <x:f>IF(W$8=0,"",IF(AND(W$8=1,COUNT('Assumptions'!W47)=1),'Assumptions'!W47,"Unavailable"))</x:f>
      </x:c>
      <x:c r="X12" s="39" t="str">
        <x:f>IF(X$8=0,"",IF(AND(X$8=1,COUNT('Assumptions'!X47)=1),'Assumptions'!X47,"Unavailable"))</x:f>
      </x:c>
      <x:c r="Y12" s="39" t="str">
        <x:f>IF(Y$8=0,"",IF(AND(Y$8=1,COUNT('Assumptions'!Y47)=1),'Assumptions'!Y47,"Unavailable"))</x:f>
      </x:c>
      <x:c r="Z12" s="39" t="str">
        <x:f>IF(Z$8=0,"",IF(AND(Z$8=1,COUNT('Assumptions'!Z47)=1),'Assumptions'!Z47,"Unavailable"))</x:f>
      </x:c>
      <x:c r="AA12" s="39" t="str">
        <x:f>IF(AA$8=0,"",IF(AND(AA$8=1,COUNT('Assumptions'!AA47)=1),'Assumptions'!AA47,"Unavailable"))</x:f>
      </x:c>
      <x:c r="AB12" s="39" t="str">
        <x:f>IF(AB$8=0,"",IF(AND(AB$8=1,COUNT('Assumptions'!AB47)=1),'Assumptions'!AB47,"Unavailable"))</x:f>
      </x:c>
    </x:row>
    <x:row r="13" ht="23" customHeight="1">
      <x:c r="A13" s="1"/>
      <x:c r="B13" s="1"/>
      <x:c r="C13" s="1" t="str">
        <x:v>Collections, USD</x:v>
      </x:c>
      <x:c r="D13" s="3"/>
      <x:c r="E13" s="27"/>
      <x:c r="F13" s="4" t="str">
        <x:f>IF(F$8=0,"",IF(AND(F$8=1,COUNT(F10,F11,F12)=3),F10+F11*F12,"Unavailable"))</x:f>
        <x:v>Unavailable</x:v>
      </x:c>
      <x:c r="G13" s="4" t="n">
        <x:f>IF(G$8=0,"",IF(AND(G$8=1,COUNT(G10,G11,G12)=3),G10+G11*G12,"Unavailable"))</x:f>
        <x:v>13750</x:v>
      </x:c>
      <x:c r="H13" s="4" t="n">
        <x:f>IF(H$8=0,"",IF(AND(H$8=1,COUNT(H10,H11,H12)=3),H10+H11*H12,"Unavailable"))</x:f>
        <x:v>14750</x:v>
      </x:c>
      <x:c r="I13" s="4" t="n">
        <x:f>IF(I$8=0,"",IF(AND(I$8=1,COUNT(I10,I11,I12)=3),I10+I11*I12,"Unavailable"))</x:f>
        <x:v>15750</x:v>
      </x:c>
      <x:c r="J13" s="4" t="n">
        <x:f>IF(J$8=0,"",IF(AND(J$8=1,COUNT(J10,J11,J12)=3),J10+J11*J12,"Unavailable"))</x:f>
        <x:v>16750</x:v>
      </x:c>
      <x:c r="K13" s="4" t="n">
        <x:f>IF(K$8=0,"",IF(AND(K$8=1,COUNT(K10,K11,K12)=3),K10+K11*K12,"Unavailable"))</x:f>
        <x:v>17750</x:v>
      </x:c>
      <x:c r="L13" s="4" t="n">
        <x:f>IF(L$8=0,"",IF(AND(L$8=1,COUNT(L10,L11,L12)=3),L10+L11*L12,"Unavailable"))</x:f>
        <x:v>18750</x:v>
      </x:c>
      <x:c r="M13" s="4" t="n">
        <x:f>IF(M$8=0,"",IF(AND(M$8=1,COUNT(M10,M11,M12)=3),M10+M11*M12,"Unavailable"))</x:f>
        <x:v>19750</x:v>
      </x:c>
      <x:c r="N13" s="4" t="n">
        <x:f>IF(N$8=0,"",IF(AND(N$8=1,COUNT(N10,N11,N12)=3),N10+N11*N12,"Unavailable"))</x:f>
        <x:v>20000</x:v>
      </x:c>
      <x:c r="O13" s="4" t="n">
        <x:f>IF(O$8=0,"",IF(AND(O$8=1,COUNT(O10,O11,O12)=3),O10+O11*O12,"Unavailable"))</x:f>
        <x:v>20000</x:v>
      </x:c>
      <x:c r="P13" s="4" t="n">
        <x:f>IF(P$8=0,"",IF(AND(P$8=1,COUNT(P10,P11,P12)=3),P10+P11*P12,"Unavailable"))</x:f>
        <x:v>20000</x:v>
      </x:c>
      <x:c r="Q13" s="4" t="str">
        <x:f>IF(Q$8=0,"",IF(AND(Q$8=1,COUNT(Q10,Q11,Q12)=3),Q10+Q11*Q12,"Unavailable"))</x:f>
      </x:c>
      <x:c r="R13" s="4" t="str">
        <x:f>IF(R$8=0,"",IF(AND(R$8=1,COUNT(R10,R11,R12)=3),R10+R11*R12,"Unavailable"))</x:f>
      </x:c>
      <x:c r="S13" s="4" t="str">
        <x:f>IF(S$8=0,"",IF(AND(S$8=1,COUNT(S10,S11,S12)=3),S10+S11*S12,"Unavailable"))</x:f>
      </x:c>
      <x:c r="T13" s="4" t="str">
        <x:f>IF(T$8=0,"",IF(AND(T$8=1,COUNT(T10,T11,T12)=3),T10+T11*T12,"Unavailable"))</x:f>
      </x:c>
      <x:c r="U13" s="4" t="str">
        <x:f>IF(U$8=0,"",IF(AND(U$8=1,COUNT(U10,U11,U12)=3),U10+U11*U12,"Unavailable"))</x:f>
      </x:c>
      <x:c r="V13" s="4" t="str">
        <x:f>IF(V$8=0,"",IF(AND(V$8=1,COUNT(V10,V11,V12)=3),V10+V11*V12,"Unavailable"))</x:f>
      </x:c>
      <x:c r="W13" s="4" t="str">
        <x:f>IF(W$8=0,"",IF(AND(W$8=1,COUNT(W10,W11,W12)=3),W10+W11*W12,"Unavailable"))</x:f>
      </x:c>
      <x:c r="X13" s="4" t="str">
        <x:f>IF(X$8=0,"",IF(AND(X$8=1,COUNT(X10,X11,X12)=3),X10+X11*X12,"Unavailable"))</x:f>
      </x:c>
      <x:c r="Y13" s="4" t="str">
        <x:f>IF(Y$8=0,"",IF(AND(Y$8=1,COUNT(Y10,Y11,Y12)=3),Y10+Y11*Y12,"Unavailable"))</x:f>
      </x:c>
      <x:c r="Z13" s="4" t="str">
        <x:f>IF(Z$8=0,"",IF(AND(Z$8=1,COUNT(Z10,Z11,Z12)=3),Z10+Z11*Z12,"Unavailable"))</x:f>
      </x:c>
      <x:c r="AA13" s="4" t="str">
        <x:f>IF(AA$8=0,"",IF(AND(AA$8=1,COUNT(AA10,AA11,AA12)=3),AA10+AA11*AA12,"Unavailable"))</x:f>
      </x:c>
      <x:c r="AB13" s="4" t="str">
        <x:f>IF(AB$8=0,"",IF(AND(AB$8=1,COUNT(AB10,AB11,AB12)=3),AB10+AB11*AB12,"Unavailable"))</x:f>
      </x:c>
    </x:row>
    <x:row r="14" ht="23" customHeight="1">
      <x:c r="A14" s="1"/>
      <x:c r="B14" s="1"/>
      <x:c r="C14" s="1" t="str">
        <x:v>Closing receivables, USD</x:v>
      </x:c>
      <x:c r="D14" s="3"/>
      <x:c r="E14" s="4" t="str">
        <x:f>IF(E$8=0,"",IF(AND(E$8=1,COUNT(E11,E12)=2),E11*(1-E12),"Unavailable"))</x:f>
        <x:v>Unavailable</x:v>
      </x:c>
      <x:c r="F14" s="4" t="n">
        <x:f>IF(F$8=0,"",IF(AND(F$8=1,COUNT(F11,F12)=2),F11*(1-F12),"Unavailable"))</x:f>
        <x:v>3250</x:v>
      </x:c>
      <x:c r="G14" s="4" t="n">
        <x:f>IF(G$8=0,"",IF(AND(G$8=1,COUNT(G11,G12)=2),G11*(1-G12),"Unavailable"))</x:f>
        <x:v>3500</x:v>
      </x:c>
      <x:c r="H14" s="4" t="n">
        <x:f>IF(H$8=0,"",IF(AND(H$8=1,COUNT(H11,H12)=2),H11*(1-H12),"Unavailable"))</x:f>
        <x:v>3750</x:v>
      </x:c>
      <x:c r="I14" s="4" t="n">
        <x:f>IF(I$8=0,"",IF(AND(I$8=1,COUNT(I11,I12)=2),I11*(1-I12),"Unavailable"))</x:f>
        <x:v>4000</x:v>
      </x:c>
      <x:c r="J14" s="4" t="n">
        <x:f>IF(J$8=0,"",IF(AND(J$8=1,COUNT(J11,J12)=2),J11*(1-J12),"Unavailable"))</x:f>
        <x:v>4250</x:v>
      </x:c>
      <x:c r="K14" s="4" t="n">
        <x:f>IF(K$8=0,"",IF(AND(K$8=1,COUNT(K11,K12)=2),K11*(1-K12),"Unavailable"))</x:f>
        <x:v>4500</x:v>
      </x:c>
      <x:c r="L14" s="4" t="n">
        <x:f>IF(L$8=0,"",IF(AND(L$8=1,COUNT(L11,L12)=2),L11*(1-L12),"Unavailable"))</x:f>
        <x:v>4750</x:v>
      </x:c>
      <x:c r="M14" s="4" t="n">
        <x:f>IF(M$8=0,"",IF(AND(M$8=1,COUNT(M11,M12)=2),M11*(1-M12),"Unavailable"))</x:f>
        <x:v>5000</x:v>
      </x:c>
      <x:c r="N14" s="4" t="n">
        <x:f>IF(N$8=0,"",IF(AND(N$8=1,COUNT(N11,N12)=2),N11*(1-N12),"Unavailable"))</x:f>
        <x:v>5000</x:v>
      </x:c>
      <x:c r="O14" s="4" t="n">
        <x:f>IF(O$8=0,"",IF(AND(O$8=1,COUNT(O11,O12)=2),O11*(1-O12),"Unavailable"))</x:f>
        <x:v>5000</x:v>
      </x:c>
      <x:c r="P14" s="4" t="n">
        <x:f>IF(P$8=0,"",IF(AND(P$8=1,COUNT(P11,P12)=2),P11*(1-P12),"Unavailable"))</x:f>
        <x:v>5000</x:v>
      </x:c>
      <x:c r="Q14" s="4" t="str">
        <x:f>IF(Q$8=0,"",IF(AND(Q$8=1,COUNT(Q11,Q12)=2),Q11*(1-Q12),"Unavailable"))</x:f>
      </x:c>
      <x:c r="R14" s="4" t="str">
        <x:f>IF(R$8=0,"",IF(AND(R$8=1,COUNT(R11,R12)=2),R11*(1-R12),"Unavailable"))</x:f>
      </x:c>
      <x:c r="S14" s="4" t="str">
        <x:f>IF(S$8=0,"",IF(AND(S$8=1,COUNT(S11,S12)=2),S11*(1-S12),"Unavailable"))</x:f>
      </x:c>
      <x:c r="T14" s="4" t="str">
        <x:f>IF(T$8=0,"",IF(AND(T$8=1,COUNT(T11,T12)=2),T11*(1-T12),"Unavailable"))</x:f>
      </x:c>
      <x:c r="U14" s="4" t="str">
        <x:f>IF(U$8=0,"",IF(AND(U$8=1,COUNT(U11,U12)=2),U11*(1-U12),"Unavailable"))</x:f>
      </x:c>
      <x:c r="V14" s="4" t="str">
        <x:f>IF(V$8=0,"",IF(AND(V$8=1,COUNT(V11,V12)=2),V11*(1-V12),"Unavailable"))</x:f>
      </x:c>
      <x:c r="W14" s="4" t="str">
        <x:f>IF(W$8=0,"",IF(AND(W$8=1,COUNT(W11,W12)=2),W11*(1-W12),"Unavailable"))</x:f>
      </x:c>
      <x:c r="X14" s="4" t="str">
        <x:f>IF(X$8=0,"",IF(AND(X$8=1,COUNT(X11,X12)=2),X11*(1-X12),"Unavailable"))</x:f>
      </x:c>
      <x:c r="Y14" s="4" t="str">
        <x:f>IF(Y$8=0,"",IF(AND(Y$8=1,COUNT(Y11,Y12)=2),Y11*(1-Y12),"Unavailable"))</x:f>
      </x:c>
      <x:c r="Z14" s="4" t="str">
        <x:f>IF(Z$8=0,"",IF(AND(Z$8=1,COUNT(Z11,Z12)=2),Z11*(1-Z12),"Unavailable"))</x:f>
      </x:c>
      <x:c r="AA14" s="4" t="str">
        <x:f>IF(AA$8=0,"",IF(AND(AA$8=1,COUNT(AA11,AA12)=2),AA11*(1-AA12),"Unavailable"))</x:f>
      </x:c>
      <x:c r="AB14" s="4" t="str">
        <x:f>IF(AB$8=0,"",IF(AND(AB$8=1,COUNT(AB11,AB12)=2),AB11*(1-AB12),"Unavailable"))</x:f>
      </x:c>
    </x:row>
    <x:row r="15" ht="23" customHeight="1">
      <x:c r="A15" s="1"/>
      <x:c r="B15" s="1"/>
      <x:c r="C15" s="43" t="str">
        <x:v>Operating cash flow, USD</x:v>
      </x:c>
      <x:c r="D15" s="44"/>
      <x:c r="E15" s="47" t="str">
        <x:f>IF(E$8=0,"",IF(AND(E$8=1,COUNT(E13,'Operations'!E17,'Operations'!E18)=3),E13-'Operations'!E17-'Operations'!E18,"Unavailable"))</x:f>
        <x:v>Unavailable</x:v>
      </x:c>
      <x:c r="F15" s="47" t="str">
        <x:f>IF(F$8=0,"",IF(AND(F$8=1,COUNT(F13,'Operations'!F17,'Operations'!F18)=3),F13-'Operations'!F17-'Operations'!F18,"Unavailable"))</x:f>
        <x:v>Unavailable</x:v>
      </x:c>
      <x:c r="G15" s="47" t="n">
        <x:f>IF(G$8=0,"",IF(AND(G$8=1,COUNT(G13,'Operations'!G17,'Operations'!G18)=3),G13-'Operations'!G17-'Operations'!G18,"Unavailable"))</x:f>
        <x:v>5150</x:v>
      </x:c>
      <x:c r="H15" s="47" t="n">
        <x:f>IF(H$8=0,"",IF(AND(H$8=1,COUNT(H13,'Operations'!H17,'Operations'!H18)=3),H13-'Operations'!H17-'Operations'!H18,"Unavailable"))</x:f>
        <x:v>5750</x:v>
      </x:c>
      <x:c r="I15" s="47" t="n">
        <x:f>IF(I$8=0,"",IF(AND(I$8=1,COUNT(I13,'Operations'!I17,'Operations'!I18)=3),I13-'Operations'!I17-'Operations'!I18,"Unavailable"))</x:f>
        <x:v>6350</x:v>
      </x:c>
      <x:c r="J15" s="47" t="n">
        <x:f>IF(J$8=0,"",IF(AND(J$8=1,COUNT(J13,'Operations'!J17,'Operations'!J18)=3),J13-'Operations'!J17-'Operations'!J18,"Unavailable"))</x:f>
        <x:v>6950</x:v>
      </x:c>
      <x:c r="K15" s="47" t="n">
        <x:f>IF(K$8=0,"",IF(AND(K$8=1,COUNT(K13,'Operations'!K17,'Operations'!K18)=3),K13-'Operations'!K17-'Operations'!K18,"Unavailable"))</x:f>
        <x:v>7550</x:v>
      </x:c>
      <x:c r="L15" s="47" t="n">
        <x:f>IF(L$8=0,"",IF(AND(L$8=1,COUNT(L13,'Operations'!L17,'Operations'!L18)=3),L13-'Operations'!L17-'Operations'!L18,"Unavailable"))</x:f>
        <x:v>8150</x:v>
      </x:c>
      <x:c r="M15" s="47" t="n">
        <x:f>IF(M$8=0,"",IF(AND(M$8=1,COUNT(M13,'Operations'!M17,'Operations'!M18)=3),M13-'Operations'!M17-'Operations'!M18,"Unavailable"))</x:f>
        <x:v>8750</x:v>
      </x:c>
      <x:c r="N15" s="47" t="n">
        <x:f>IF(N$8=0,"",IF(AND(N$8=1,COUNT(N13,'Operations'!N17,'Operations'!N18)=3),N13-'Operations'!N17-'Operations'!N18,"Unavailable"))</x:f>
        <x:v>9000</x:v>
      </x:c>
      <x:c r="O15" s="47" t="n">
        <x:f>IF(O$8=0,"",IF(AND(O$8=1,COUNT(O13,'Operations'!O17,'Operations'!O18)=3),O13-'Operations'!O17-'Operations'!O18,"Unavailable"))</x:f>
        <x:v>9000</x:v>
      </x:c>
      <x:c r="P15" s="47" t="n">
        <x:f>IF(P$8=0,"",IF(AND(P$8=1,COUNT(P13,'Operations'!P17,'Operations'!P18)=3),P13-'Operations'!P17-'Operations'!P18,"Unavailable"))</x:f>
        <x:v>9000</x:v>
      </x:c>
      <x:c r="Q15" s="47" t="str">
        <x:f>IF(Q$8=0,"",IF(AND(Q$8=1,COUNT(Q13,'Operations'!Q17,'Operations'!Q18)=3),Q13-'Operations'!Q17-'Operations'!Q18,"Unavailable"))</x:f>
      </x:c>
      <x:c r="R15" s="47" t="str">
        <x:f>IF(R$8=0,"",IF(AND(R$8=1,COUNT(R13,'Operations'!R17,'Operations'!R18)=3),R13-'Operations'!R17-'Operations'!R18,"Unavailable"))</x:f>
      </x:c>
      <x:c r="S15" s="47" t="str">
        <x:f>IF(S$8=0,"",IF(AND(S$8=1,COUNT(S13,'Operations'!S17,'Operations'!S18)=3),S13-'Operations'!S17-'Operations'!S18,"Unavailable"))</x:f>
      </x:c>
      <x:c r="T15" s="47" t="str">
        <x:f>IF(T$8=0,"",IF(AND(T$8=1,COUNT(T13,'Operations'!T17,'Operations'!T18)=3),T13-'Operations'!T17-'Operations'!T18,"Unavailable"))</x:f>
      </x:c>
      <x:c r="U15" s="47" t="str">
        <x:f>IF(U$8=0,"",IF(AND(U$8=1,COUNT(U13,'Operations'!U17,'Operations'!U18)=3),U13-'Operations'!U17-'Operations'!U18,"Unavailable"))</x:f>
      </x:c>
      <x:c r="V15" s="47" t="str">
        <x:f>IF(V$8=0,"",IF(AND(V$8=1,COUNT(V13,'Operations'!V17,'Operations'!V18)=3),V13-'Operations'!V17-'Operations'!V18,"Unavailable"))</x:f>
      </x:c>
      <x:c r="W15" s="47" t="str">
        <x:f>IF(W$8=0,"",IF(AND(W$8=1,COUNT(W13,'Operations'!W17,'Operations'!W18)=3),W13-'Operations'!W17-'Operations'!W18,"Unavailable"))</x:f>
      </x:c>
      <x:c r="X15" s="47" t="str">
        <x:f>IF(X$8=0,"",IF(AND(X$8=1,COUNT(X13,'Operations'!X17,'Operations'!X18)=3),X13-'Operations'!X17-'Operations'!X18,"Unavailable"))</x:f>
      </x:c>
      <x:c r="Y15" s="47" t="str">
        <x:f>IF(Y$8=0,"",IF(AND(Y$8=1,COUNT(Y13,'Operations'!Y17,'Operations'!Y18)=3),Y13-'Operations'!Y17-'Operations'!Y18,"Unavailable"))</x:f>
      </x:c>
      <x:c r="Z15" s="47" t="str">
        <x:f>IF(Z$8=0,"",IF(AND(Z$8=1,COUNT(Z13,'Operations'!Z17,'Operations'!Z18)=3),Z13-'Operations'!Z17-'Operations'!Z18,"Unavailable"))</x:f>
      </x:c>
      <x:c r="AA15" s="47" t="str">
        <x:f>IF(AA$8=0,"",IF(AND(AA$8=1,COUNT(AA13,'Operations'!AA17,'Operations'!AA18)=3),AA13-'Operations'!AA17-'Operations'!AA18,"Unavailable"))</x:f>
      </x:c>
      <x:c r="AB15" s="47" t="str">
        <x:f>IF(AB$8=0,"",IF(AND(AB$8=1,COUNT(AB13,'Operations'!AB17,'Operations'!AB18)=3),AB13-'Operations'!AB17-'Operations'!AB18,"Unavailable"))</x:f>
      </x:c>
    </x:row>
    <x:row r="16" ht="23" customHeight="1">
      <x:c r="A16" s="1"/>
      <x:c r="B16" s="1"/>
      <x:c r="C16" s="1"/>
      <x:c r="D16" s="3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  <x:c r="AA16" s="4"/>
      <x:c r="AB16" s="4"/>
    </x:row>
    <x:row r="17" ht="23" customHeight="1">
      <x:c r="A17" s="1"/>
      <x:c r="B17" s="1"/>
      <x:c r="C17" s="1"/>
      <x:c r="D17" s="3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  <x:c r="AA17" s="4"/>
      <x:c r="AB17" s="4"/>
    </x:row>
    <x:row r="18" ht="23" customHeight="1">
      <x:c r="A18" s="1"/>
      <x:c r="B18" s="1"/>
      <x:c r="C18" s="1"/>
      <x:c r="D18" s="3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  <x:c r="AA18" s="4"/>
      <x:c r="AB18" s="4"/>
    </x:row>
    <x:row r="19" ht="23" customHeight="1">
      <x:c r="A19" s="1"/>
      <x:c r="B19" s="1"/>
      <x:c r="C19" s="1"/>
      <x:c r="D19" s="3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  <x:c r="AA19" s="4"/>
      <x:c r="AB19" s="4"/>
    </x:row>
    <x:row r="20" ht="23" customHeight="1">
      <x:c r="A20" s="1"/>
      <x:c r="B20" s="1"/>
      <x:c r="C20" s="1"/>
      <x:c r="D20" s="3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  <x:c r="AA20" s="4"/>
      <x:c r="AB20" s="4"/>
    </x:row>
    <x:row r="21" ht="23" customHeight="1">
      <x:c r="A21" s="1"/>
      <x:c r="B21" s="1"/>
      <x:c r="C21" s="1"/>
      <x:c r="D21" s="3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  <x:c r="AA21" s="4"/>
      <x:c r="AB21" s="4"/>
    </x:row>
    <x:row r="22" ht="23" customHeight="1">
      <x:c r="A22" s="1"/>
      <x:c r="B22" s="1"/>
      <x:c r="C22" s="1"/>
      <x:c r="D22" s="3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  <x:c r="AA22" s="4"/>
      <x:c r="AB22" s="4"/>
    </x:row>
    <x:row r="23" ht="23" customHeight="1">
      <x:c r="A23" s="1"/>
      <x:c r="B23" s="1"/>
      <x:c r="C23" s="1"/>
      <x:c r="D23" s="3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  <x:c r="AA23" s="4"/>
      <x:c r="AB23" s="4"/>
    </x:row>
    <x:row r="24" ht="23" customHeight="1">
      <x:c r="A24" s="1"/>
      <x:c r="B24" s="1"/>
      <x:c r="C24" s="1"/>
      <x:c r="D24" s="3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  <x:c r="AA24" s="4"/>
      <x:c r="AB24" s="4"/>
    </x:row>
    <x:row r="25" ht="23" customHeight="1">
      <x:c r="A25" s="1"/>
      <x:c r="B25" s="1"/>
      <x:c r="C25" s="1"/>
      <x:c r="D25" s="3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  <x:c r="AA25" s="4"/>
      <x:c r="AB25" s="4"/>
    </x:row>
    <x:row r="26" ht="23" customHeight="1">
      <x:c r="A26" s="1"/>
      <x:c r="B26" s="1"/>
      <x:c r="C26" s="1"/>
      <x:c r="D26" s="3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  <x:c r="AA26" s="4"/>
      <x:c r="AB26" s="4"/>
    </x:row>
    <x:row r="27" ht="23" customHeight="1">
      <x:c r="A27" s="1"/>
      <x:c r="B27" s="1"/>
      <x:c r="C27" s="1"/>
      <x:c r="D27" s="3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  <x:c r="AA27" s="4"/>
      <x:c r="AB27" s="4"/>
    </x:row>
    <x:row r="28" ht="23" customHeight="1">
      <x:c r="A28" s="1"/>
      <x:c r="B28" s="1"/>
      <x:c r="C28" s="1"/>
      <x:c r="D28" s="3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  <x:c r="AA28" s="4"/>
      <x:c r="AB28" s="4"/>
    </x:row>
    <x:row r="29" ht="23" customHeight="1">
      <x:c r="A29" s="1"/>
      <x:c r="B29" s="1"/>
      <x:c r="C29" s="1"/>
      <x:c r="D29" s="3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  <x:c r="AA29" s="4"/>
      <x:c r="AB29" s="4"/>
    </x:row>
    <x:row r="30" ht="23" customHeight="1">
      <x:c r="A30" s="1"/>
      <x:c r="B30" s="1"/>
      <x:c r="C30" s="1"/>
      <x:c r="D30" s="3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  <x:c r="AA30" s="4"/>
      <x:c r="AB30" s="4"/>
    </x:row>
    <x:row r="31" ht="23" customHeight="1">
      <x:c r="A31" s="1"/>
      <x:c r="B31" s="1"/>
      <x:c r="C31" s="1"/>
      <x:c r="D31" s="3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  <x:c r="AA31" s="4"/>
      <x:c r="AB31" s="4"/>
    </x:row>
    <x:row r="32" ht="23" customHeight="1">
      <x:c r="A32" s="1"/>
      <x:c r="B32" s="1"/>
      <x:c r="C32" s="1"/>
      <x:c r="D32" s="3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  <x:c r="AA32" s="4"/>
      <x:c r="AB32" s="4"/>
    </x:row>
    <x:row r="33" ht="23" customHeight="1">
      <x:c r="A33" s="1"/>
      <x:c r="B33" s="1"/>
      <x:c r="C33" s="1"/>
      <x:c r="D33" s="3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  <x:c r="AA33" s="4"/>
      <x:c r="AB33" s="4"/>
    </x:row>
    <x:row r="34" ht="23" customHeight="1">
      <x:c r="A34" s="1"/>
      <x:c r="B34" s="1"/>
      <x:c r="C34" s="1"/>
      <x:c r="D34" s="3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  <x:c r="AA34" s="4"/>
      <x:c r="AB34" s="4"/>
    </x:row>
    <x:row r="35" ht="23" customHeight="1">
      <x:c r="A35" s="1"/>
      <x:c r="B35" s="1"/>
      <x:c r="C35" s="1"/>
      <x:c r="D35" s="3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  <x:c r="AA35" s="4"/>
      <x:c r="AB35" s="4"/>
    </x:row>
    <x:row r="36" ht="23" customHeight="1">
      <x:c r="A36" s="1"/>
      <x:c r="B36" s="1"/>
      <x:c r="C36" s="1"/>
      <x:c r="D36" s="3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  <x:c r="AA36" s="4"/>
      <x:c r="AB36" s="4"/>
    </x:row>
    <x:row r="37" ht="23" customHeight="1">
      <x:c r="A37" s="1"/>
      <x:c r="B37" s="1"/>
      <x:c r="C37" s="1"/>
      <x:c r="D37" s="3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  <x:c r="AA37" s="4"/>
      <x:c r="AB37" s="4"/>
    </x:row>
    <x:row r="38" ht="23" customHeight="1">
      <x:c r="A38" s="1"/>
      <x:c r="B38" s="1"/>
      <x:c r="C38" s="1"/>
      <x:c r="D38" s="3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  <x:c r="AA38" s="4"/>
      <x:c r="AB38" s="4"/>
    </x:row>
    <x:row r="39" ht="23" customHeight="1">
      <x:c r="A39" s="1"/>
      <x:c r="B39" s="1"/>
      <x:c r="C39" s="1"/>
      <x:c r="D39" s="3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  <x:c r="AA39" s="4"/>
      <x:c r="AB39" s="4"/>
    </x:row>
    <x:row r="40" ht="23" customHeight="1">
      <x:c r="A40" s="1"/>
      <x:c r="B40" s="1"/>
      <x:c r="C40" s="1"/>
      <x:c r="D40" s="3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  <x:c r="AA40" s="4"/>
      <x:c r="AB40" s="4"/>
    </x:row>
    <x:row r="41" ht="23" customHeight="1">
      <x:c r="A41" s="1"/>
      <x:c r="B41" s="1"/>
      <x:c r="C41" s="1"/>
      <x:c r="D41" s="3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  <x:c r="AA41" s="4"/>
      <x:c r="AB41" s="4"/>
    </x:row>
    <x:row r="42" ht="23" customHeight="1">
      <x:c r="A42" s="1"/>
      <x:c r="B42" s="1"/>
      <x:c r="C42" s="1"/>
      <x:c r="D42" s="3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  <x:c r="AA42" s="4"/>
      <x:c r="AB42" s="4"/>
    </x:row>
    <x:row r="43" ht="23" customHeight="1">
      <x:c r="A43" s="1"/>
      <x:c r="B43" s="1"/>
      <x:c r="C43" s="1"/>
      <x:c r="D43" s="3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  <x:c r="AA43" s="4"/>
      <x:c r="AB43" s="4"/>
    </x:row>
    <x:row r="44" ht="23" customHeight="1">
      <x:c r="A44" s="1"/>
      <x:c r="B44" s="1"/>
      <x:c r="C44" s="1"/>
      <x:c r="D44" s="3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  <x:c r="AA44" s="4"/>
      <x:c r="AB44" s="4"/>
    </x:row>
    <x:row r="45" ht="23" customHeight="1">
      <x:c r="A45" s="1"/>
      <x:c r="B45" s="1"/>
      <x:c r="C45" s="1"/>
      <x:c r="D45" s="3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  <x:c r="AA45" s="4"/>
      <x:c r="AB45" s="4"/>
    </x:row>
    <x:row r="46" ht="23" customHeight="1">
      <x:c r="A46" s="1"/>
      <x:c r="B46" s="1"/>
      <x:c r="C46" s="1"/>
      <x:c r="D46" s="3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  <x:c r="AA46" s="4"/>
      <x:c r="AB46" s="4"/>
    </x:row>
    <x:row r="47" ht="23" customHeight="1">
      <x:c r="A47" s="1"/>
      <x:c r="B47" s="1"/>
      <x:c r="C47" s="1"/>
      <x:c r="D47" s="3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  <x:c r="AA47" s="4"/>
      <x:c r="AB47" s="4"/>
    </x:row>
    <x:row r="48" ht="23" customHeight="1">
      <x:c r="A48" s="1"/>
      <x:c r="B48" s="1"/>
      <x:c r="C48" s="1"/>
      <x:c r="D48" s="3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  <x:c r="AA48" s="4"/>
      <x:c r="AB48" s="4"/>
    </x:row>
    <x:row r="49" ht="23" customHeight="1">
      <x:c r="A49" s="1"/>
      <x:c r="B49" s="1"/>
      <x:c r="C49" s="1"/>
      <x:c r="D49" s="3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</x:row>
    <x:row r="50" ht="23" customHeight="1">
      <x:c r="A50" s="1"/>
      <x:c r="B50" s="1"/>
      <x:c r="C50" s="1"/>
      <x:c r="D50" s="3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</x:row>
    <x:row r="2" ht="23" customHeight="1">
      <x:c r="A2" s="1"/>
      <x:c r="B2" s="1"/>
      <x:c r="C2" s="6" t="str">
        <x:v>Funding</x:v>
      </x:c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</x:row>
    <x:row r="3" ht="23" customHeight="1">
      <x:c r="A3" s="1"/>
      <x:c r="B3" s="1"/>
      <x:c r="C3" s="1" t="str">
        <x:v>Case selected</x:v>
      </x:c>
      <x:c r="D3" s="8" t="str">
        <x:f>IF(AND(COUNT('Assumptions'!D6)=1,'Assumptions'!D6=INT('Assumptions'!D6),'Assumptions'!D6&gt;=1,'Assumptions'!D6&lt;=3),CHOOSE('Assumptions'!D6,"Base","Downside","Upside"),"Invalid case")</x:f>
        <x:v>Base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</x:row>
    <x:row r="6" ht="23" customHeight="1">
      <x:c r="A6" s="1"/>
      <x:c r="B6" s="1"/>
      <x:c r="C6" s="1" t="str">
        <x:v>Period index</x:v>
      </x:c>
      <x:c r="D6" s="3"/>
      <x:c r="E6" s="36" t="n">
        <x:f>'Assumptions'!E17</x:f>
        <x:v>1</x:v>
      </x:c>
      <x:c r="F6" s="36" t="n">
        <x:f>'Assumptions'!F17</x:f>
        <x:v>2</x:v>
      </x:c>
      <x:c r="G6" s="36" t="n">
        <x:f>'Assumptions'!G17</x:f>
        <x:v>3</x:v>
      </x:c>
      <x:c r="H6" s="36" t="n">
        <x:f>'Assumptions'!H17</x:f>
        <x:v>4</x:v>
      </x:c>
      <x:c r="I6" s="36" t="n">
        <x:f>'Assumptions'!I17</x:f>
        <x:v>5</x:v>
      </x:c>
      <x:c r="J6" s="36" t="n">
        <x:f>'Assumptions'!J17</x:f>
        <x:v>6</x:v>
      </x:c>
      <x:c r="K6" s="36" t="n">
        <x:f>'Assumptions'!K17</x:f>
        <x:v>7</x:v>
      </x:c>
      <x:c r="L6" s="36" t="n">
        <x:f>'Assumptions'!L17</x:f>
        <x:v>8</x:v>
      </x:c>
      <x:c r="M6" s="36" t="n">
        <x:f>'Assumptions'!M17</x:f>
        <x:v>9</x:v>
      </x:c>
      <x:c r="N6" s="36" t="n">
        <x:f>'Assumptions'!N17</x:f>
        <x:v>10</x:v>
      </x:c>
      <x:c r="O6" s="36" t="n">
        <x:f>'Assumptions'!O17</x:f>
        <x:v>11</x:v>
      </x:c>
      <x:c r="P6" s="36" t="n">
        <x:f>'Assumptions'!P17</x:f>
        <x:v>12</x:v>
      </x:c>
      <x:c r="Q6" s="36" t="n">
        <x:f>'Assumptions'!Q17</x:f>
        <x:v>13</x:v>
      </x:c>
      <x:c r="R6" s="36" t="n">
        <x:f>'Assumptions'!R17</x:f>
        <x:v>14</x:v>
      </x:c>
      <x:c r="S6" s="36" t="n">
        <x:f>'Assumptions'!S17</x:f>
        <x:v>15</x:v>
      </x:c>
      <x:c r="T6" s="36" t="n">
        <x:f>'Assumptions'!T17</x:f>
        <x:v>16</x:v>
      </x:c>
      <x:c r="U6" s="36" t="n">
        <x:f>'Assumptions'!U17</x:f>
        <x:v>17</x:v>
      </x:c>
      <x:c r="V6" s="36" t="n">
        <x:f>'Assumptions'!V17</x:f>
        <x:v>18</x:v>
      </x:c>
      <x:c r="W6" s="36" t="n">
        <x:f>'Assumptions'!W17</x:f>
        <x:v>19</x:v>
      </x:c>
      <x:c r="X6" s="36" t="n">
        <x:f>'Assumptions'!X17</x:f>
        <x:v>20</x:v>
      </x:c>
      <x:c r="Y6" s="36" t="n">
        <x:f>'Assumptions'!Y17</x:f>
        <x:v>21</x:v>
      </x:c>
      <x:c r="Z6" s="36" t="n">
        <x:f>'Assumptions'!Z17</x:f>
        <x:v>22</x:v>
      </x:c>
      <x:c r="AA6" s="36" t="n">
        <x:f>'Assumptions'!AA17</x:f>
        <x:v>23</x:v>
      </x:c>
      <x:c r="AB6" s="36" t="n">
        <x:f>'Assumptions'!AB17</x:f>
        <x:v>24</x:v>
      </x:c>
    </x:row>
    <x:row r="7" ht="23" customHeight="1">
      <x:c r="A7" s="1"/>
      <x:c r="B7" s="1"/>
      <x:c r="C7" s="23" t="str">
        <x:v>Forecast month</x:v>
      </x:c>
      <x:c r="D7" s="24"/>
      <x:c r="E7" s="34" t="n">
        <x:f>'Assumptions'!E18</x:f>
        <x:v>46388</x:v>
      </x:c>
      <x:c r="F7" s="34" t="n">
        <x:f>'Assumptions'!F18</x:f>
        <x:v>46419</x:v>
      </x:c>
      <x:c r="G7" s="34" t="n">
        <x:f>'Assumptions'!G18</x:f>
        <x:v>46447</x:v>
      </x:c>
      <x:c r="H7" s="34" t="n">
        <x:f>'Assumptions'!H18</x:f>
        <x:v>46478</x:v>
      </x:c>
      <x:c r="I7" s="34" t="n">
        <x:f>'Assumptions'!I18</x:f>
        <x:v>46508</x:v>
      </x:c>
      <x:c r="J7" s="34" t="n">
        <x:f>'Assumptions'!J18</x:f>
        <x:v>46539</x:v>
      </x:c>
      <x:c r="K7" s="34" t="n">
        <x:f>'Assumptions'!K18</x:f>
        <x:v>46569</x:v>
      </x:c>
      <x:c r="L7" s="34" t="n">
        <x:f>'Assumptions'!L18</x:f>
        <x:v>46600</x:v>
      </x:c>
      <x:c r="M7" s="34" t="n">
        <x:f>'Assumptions'!M18</x:f>
        <x:v>46631</x:v>
      </x:c>
      <x:c r="N7" s="34" t="n">
        <x:f>'Assumptions'!N18</x:f>
        <x:v>46661</x:v>
      </x:c>
      <x:c r="O7" s="34" t="n">
        <x:f>'Assumptions'!O18</x:f>
        <x:v>46692</x:v>
      </x:c>
      <x:c r="P7" s="34" t="n">
        <x:f>'Assumptions'!P18</x:f>
        <x:v>46722</x:v>
      </x:c>
      <x:c r="Q7" s="34" t="n">
        <x:f>'Assumptions'!Q18</x:f>
        <x:v>46753</x:v>
      </x:c>
      <x:c r="R7" s="34" t="n">
        <x:f>'Assumptions'!R18</x:f>
        <x:v>46784</x:v>
      </x:c>
      <x:c r="S7" s="34" t="n">
        <x:f>'Assumptions'!S18</x:f>
        <x:v>46813</x:v>
      </x:c>
      <x:c r="T7" s="34" t="n">
        <x:f>'Assumptions'!T18</x:f>
        <x:v>46844</x:v>
      </x:c>
      <x:c r="U7" s="34" t="n">
        <x:f>'Assumptions'!U18</x:f>
        <x:v>46874</x:v>
      </x:c>
      <x:c r="V7" s="34" t="n">
        <x:f>'Assumptions'!V18</x:f>
        <x:v>46905</x:v>
      </x:c>
      <x:c r="W7" s="34" t="n">
        <x:f>'Assumptions'!W18</x:f>
        <x:v>46935</x:v>
      </x:c>
      <x:c r="X7" s="34" t="n">
        <x:f>'Assumptions'!X18</x:f>
        <x:v>46966</x:v>
      </x:c>
      <x:c r="Y7" s="34" t="n">
        <x:f>'Assumptions'!Y18</x:f>
        <x:v>46997</x:v>
      </x:c>
      <x:c r="Z7" s="34" t="n">
        <x:f>'Assumptions'!Z18</x:f>
        <x:v>47027</x:v>
      </x:c>
      <x:c r="AA7" s="34" t="n">
        <x:f>'Assumptions'!AA18</x:f>
        <x:v>47058</x:v>
      </x:c>
      <x:c r="AB7" s="34" t="n">
        <x:f>'Assumptions'!AB18</x:f>
        <x:v>47088</x:v>
      </x:c>
    </x:row>
    <x:row r="8" ht="23" customHeight="1">
      <x:c r="A8" s="1"/>
      <x:c r="B8" s="1"/>
      <x:c r="C8" s="1" t="str">
        <x:v>Active period</x:v>
      </x:c>
      <x:c r="D8" s="3"/>
      <x:c r="E8" s="36" t="n">
        <x:f>'Assumptions'!E19</x:f>
        <x:v>1</x:v>
      </x:c>
      <x:c r="F8" s="36" t="n">
        <x:f>'Assumptions'!F19</x:f>
        <x:v>1</x:v>
      </x:c>
      <x:c r="G8" s="36" t="n">
        <x:f>'Assumptions'!G19</x:f>
        <x:v>1</x:v>
      </x:c>
      <x:c r="H8" s="36" t="n">
        <x:f>'Assumptions'!H19</x:f>
        <x:v>1</x:v>
      </x:c>
      <x:c r="I8" s="36" t="n">
        <x:f>'Assumptions'!I19</x:f>
        <x:v>1</x:v>
      </x:c>
      <x:c r="J8" s="36" t="n">
        <x:f>'Assumptions'!J19</x:f>
        <x:v>1</x:v>
      </x:c>
      <x:c r="K8" s="36" t="n">
        <x:f>'Assumptions'!K19</x:f>
        <x:v>1</x:v>
      </x:c>
      <x:c r="L8" s="36" t="n">
        <x:f>'Assumptions'!L19</x:f>
        <x:v>1</x:v>
      </x:c>
      <x:c r="M8" s="36" t="n">
        <x:f>'Assumptions'!M19</x:f>
        <x:v>1</x:v>
      </x:c>
      <x:c r="N8" s="36" t="n">
        <x:f>'Assumptions'!N19</x:f>
        <x:v>1</x:v>
      </x:c>
      <x:c r="O8" s="36" t="n">
        <x:f>'Assumptions'!O19</x:f>
        <x:v>1</x:v>
      </x:c>
      <x:c r="P8" s="36" t="n">
        <x:f>'Assumptions'!P19</x:f>
        <x:v>1</x:v>
      </x:c>
      <x:c r="Q8" s="36" t="n">
        <x:f>'Assumptions'!Q19</x:f>
        <x:v>0</x:v>
      </x:c>
      <x:c r="R8" s="36" t="n">
        <x:f>'Assumptions'!R19</x:f>
        <x:v>0</x:v>
      </x:c>
      <x:c r="S8" s="36" t="n">
        <x:f>'Assumptions'!S19</x:f>
        <x:v>0</x:v>
      </x:c>
      <x:c r="T8" s="36" t="n">
        <x:f>'Assumptions'!T19</x:f>
        <x:v>0</x:v>
      </x:c>
      <x:c r="U8" s="36" t="n">
        <x:f>'Assumptions'!U19</x:f>
        <x:v>0</x:v>
      </x:c>
      <x:c r="V8" s="36" t="n">
        <x:f>'Assumptions'!V19</x:f>
        <x:v>0</x:v>
      </x:c>
      <x:c r="W8" s="36" t="n">
        <x:f>'Assumptions'!W19</x:f>
        <x:v>0</x:v>
      </x:c>
      <x:c r="X8" s="36" t="n">
        <x:f>'Assumptions'!X19</x:f>
        <x:v>0</x:v>
      </x:c>
      <x:c r="Y8" s="36" t="n">
        <x:f>'Assumptions'!Y19</x:f>
        <x:v>0</x:v>
      </x:c>
      <x:c r="Z8" s="36" t="n">
        <x:f>'Assumptions'!Z19</x:f>
        <x:v>0</x:v>
      </x:c>
      <x:c r="AA8" s="36" t="n">
        <x:f>'Assumptions'!AA19</x:f>
        <x:v>0</x:v>
      </x:c>
      <x:c r="AB8" s="36" t="n">
        <x:f>'Assumptions'!AB19</x:f>
        <x:v>0</x:v>
      </x:c>
    </x:row>
    <x:row r="9" ht="23" customHeight="1">
      <x:c r="A9" s="1"/>
      <x:c r="B9" s="1"/>
      <x:c r="C9" s="1"/>
      <x:c r="D9" s="3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  <x:c r="AA9" s="4"/>
      <x:c r="AB9" s="4"/>
    </x:row>
    <x:row r="10" ht="23" customHeight="1">
      <x:c r="A10" s="1"/>
      <x:c r="B10" s="1"/>
      <x:c r="C10" s="1" t="str">
        <x:v>Opening debt, USD</x:v>
      </x:c>
      <x:c r="D10" s="3"/>
      <x:c r="E10" s="35" t="n">
        <x:f>IF(E$8=0,"",IF(AND(E$8=1,COUNT('Sources'!$D$7)=1),'Sources'!$D$7,"Unavailable"))</x:f>
        <x:v>0</x:v>
      </x:c>
      <x:c r="F10" s="4" t="n">
        <x:f>IF(F$8=0,"",IF(AND(F$8=1,COUNT(E14)=1),E14,"Unavailable"))</x:f>
        <x:v>11000</x:v>
      </x:c>
      <x:c r="G10" s="4" t="n">
        <x:f>IF(G$8=0,"",IF(AND(G$8=1,COUNT(F14)=1),F14,"Unavailable"))</x:f>
        <x:v>10000</x:v>
      </x:c>
      <x:c r="H10" s="4" t="n">
        <x:f>IF(H$8=0,"",IF(AND(H$8=1,COUNT(G14)=1),G14,"Unavailable"))</x:f>
        <x:v>9000</x:v>
      </x:c>
      <x:c r="I10" s="4" t="n">
        <x:f>IF(I$8=0,"",IF(AND(I$8=1,COUNT(H14)=1),H14,"Unavailable"))</x:f>
        <x:v>8000</x:v>
      </x:c>
      <x:c r="J10" s="4" t="n">
        <x:f>IF(J$8=0,"",IF(AND(J$8=1,COUNT(I14)=1),I14,"Unavailable"))</x:f>
        <x:v>7000</x:v>
      </x:c>
      <x:c r="K10" s="4" t="n">
        <x:f>IF(K$8=0,"",IF(AND(K$8=1,COUNT(J14)=1),J14,"Unavailable"))</x:f>
        <x:v>6000</x:v>
      </x:c>
      <x:c r="L10" s="4" t="n">
        <x:f>IF(L$8=0,"",IF(AND(L$8=1,COUNT(K14)=1),K14,"Unavailable"))</x:f>
        <x:v>5000</x:v>
      </x:c>
      <x:c r="M10" s="4" t="n">
        <x:f>IF(M$8=0,"",IF(AND(M$8=1,COUNT(L14)=1),L14,"Unavailable"))</x:f>
        <x:v>4000</x:v>
      </x:c>
      <x:c r="N10" s="4" t="n">
        <x:f>IF(N$8=0,"",IF(AND(N$8=1,COUNT(M14)=1),M14,"Unavailable"))</x:f>
        <x:v>3000</x:v>
      </x:c>
      <x:c r="O10" s="4" t="n">
        <x:f>IF(O$8=0,"",IF(AND(O$8=1,COUNT(N14)=1),N14,"Unavailable"))</x:f>
        <x:v>2000</x:v>
      </x:c>
      <x:c r="P10" s="4" t="n">
        <x:f>IF(P$8=0,"",IF(AND(P$8=1,COUNT(O14)=1),O14,"Unavailable"))</x:f>
        <x:v>1000</x:v>
      </x:c>
      <x:c r="Q10" s="4" t="str">
        <x:f>IF(Q$8=0,"",IF(AND(Q$8=1,COUNT(P14)=1),P14,"Unavailable"))</x:f>
      </x:c>
      <x:c r="R10" s="4" t="str">
        <x:f>IF(R$8=0,"",IF(AND(R$8=1,COUNT(Q14)=1),Q14,"Unavailable"))</x:f>
      </x:c>
      <x:c r="S10" s="4" t="str">
        <x:f>IF(S$8=0,"",IF(AND(S$8=1,COUNT(R14)=1),R14,"Unavailable"))</x:f>
      </x:c>
      <x:c r="T10" s="4" t="str">
        <x:f>IF(T$8=0,"",IF(AND(T$8=1,COUNT(S14)=1),S14,"Unavailable"))</x:f>
      </x:c>
      <x:c r="U10" s="4" t="str">
        <x:f>IF(U$8=0,"",IF(AND(U$8=1,COUNT(T14)=1),T14,"Unavailable"))</x:f>
      </x:c>
      <x:c r="V10" s="4" t="str">
        <x:f>IF(V$8=0,"",IF(AND(V$8=1,COUNT(U14)=1),U14,"Unavailable"))</x:f>
      </x:c>
      <x:c r="W10" s="4" t="str">
        <x:f>IF(W$8=0,"",IF(AND(W$8=1,COUNT(V14)=1),V14,"Unavailable"))</x:f>
      </x:c>
      <x:c r="X10" s="4" t="str">
        <x:f>IF(X$8=0,"",IF(AND(X$8=1,COUNT(W14)=1),W14,"Unavailable"))</x:f>
      </x:c>
      <x:c r="Y10" s="4" t="str">
        <x:f>IF(Y$8=0,"",IF(AND(Y$8=1,COUNT(X14)=1),X14,"Unavailable"))</x:f>
      </x:c>
      <x:c r="Z10" s="4" t="str">
        <x:f>IF(Z$8=0,"",IF(AND(Z$8=1,COUNT(Y14)=1),Y14,"Unavailable"))</x:f>
      </x:c>
      <x:c r="AA10" s="4" t="str">
        <x:f>IF(AA$8=0,"",IF(AND(AA$8=1,COUNT(Z14)=1),Z14,"Unavailable"))</x:f>
      </x:c>
      <x:c r="AB10" s="4" t="str">
        <x:f>IF(AB$8=0,"",IF(AND(AB$8=1,COUNT(AA14)=1),AA14,"Unavailable"))</x:f>
      </x:c>
    </x:row>
    <x:row r="11" ht="23" customHeight="1">
      <x:c r="A11" s="1"/>
      <x:c r="B11" s="1"/>
      <x:c r="C11" s="1" t="str">
        <x:v>Beginning-of-month draw, USD</x:v>
      </x:c>
      <x:c r="D11" s="3"/>
      <x:c r="E11" s="35" t="n">
        <x:f>IF(E$8=0,"",IF(AND(E$8=1,COUNT('Assumptions'!$D$10,'Assumptions'!$D$8)=2),IF(E$6=1,'Assumptions'!$D$10*'Assumptions'!$D$8,0),"Unavailable"))</x:f>
        <x:v>12000</x:v>
      </x:c>
      <x:c r="F11" s="35" t="n">
        <x:f>IF(F$8=0,"",IF(AND(F$8=1,COUNT('Assumptions'!$D$10,'Assumptions'!$D$8)=2),IF(F$6=1,'Assumptions'!$D$10*'Assumptions'!$D$8,0),"Unavailable"))</x:f>
        <x:v>0</x:v>
      </x:c>
      <x:c r="G11" s="35" t="n">
        <x:f>IF(G$8=0,"",IF(AND(G$8=1,COUNT('Assumptions'!$D$10,'Assumptions'!$D$8)=2),IF(G$6=1,'Assumptions'!$D$10*'Assumptions'!$D$8,0),"Unavailable"))</x:f>
        <x:v>0</x:v>
      </x:c>
      <x:c r="H11" s="35" t="n">
        <x:f>IF(H$8=0,"",IF(AND(H$8=1,COUNT('Assumptions'!$D$10,'Assumptions'!$D$8)=2),IF(H$6=1,'Assumptions'!$D$10*'Assumptions'!$D$8,0),"Unavailable"))</x:f>
        <x:v>0</x:v>
      </x:c>
      <x:c r="I11" s="35" t="n">
        <x:f>IF(I$8=0,"",IF(AND(I$8=1,COUNT('Assumptions'!$D$10,'Assumptions'!$D$8)=2),IF(I$6=1,'Assumptions'!$D$10*'Assumptions'!$D$8,0),"Unavailable"))</x:f>
        <x:v>0</x:v>
      </x:c>
      <x:c r="J11" s="35" t="n">
        <x:f>IF(J$8=0,"",IF(AND(J$8=1,COUNT('Assumptions'!$D$10,'Assumptions'!$D$8)=2),IF(J$6=1,'Assumptions'!$D$10*'Assumptions'!$D$8,0),"Unavailable"))</x:f>
        <x:v>0</x:v>
      </x:c>
      <x:c r="K11" s="35" t="n">
        <x:f>IF(K$8=0,"",IF(AND(K$8=1,COUNT('Assumptions'!$D$10,'Assumptions'!$D$8)=2),IF(K$6=1,'Assumptions'!$D$10*'Assumptions'!$D$8,0),"Unavailable"))</x:f>
        <x:v>0</x:v>
      </x:c>
      <x:c r="L11" s="35" t="n">
        <x:f>IF(L$8=0,"",IF(AND(L$8=1,COUNT('Assumptions'!$D$10,'Assumptions'!$D$8)=2),IF(L$6=1,'Assumptions'!$D$10*'Assumptions'!$D$8,0),"Unavailable"))</x:f>
        <x:v>0</x:v>
      </x:c>
      <x:c r="M11" s="35" t="n">
        <x:f>IF(M$8=0,"",IF(AND(M$8=1,COUNT('Assumptions'!$D$10,'Assumptions'!$D$8)=2),IF(M$6=1,'Assumptions'!$D$10*'Assumptions'!$D$8,0),"Unavailable"))</x:f>
        <x:v>0</x:v>
      </x:c>
      <x:c r="N11" s="35" t="n">
        <x:f>IF(N$8=0,"",IF(AND(N$8=1,COUNT('Assumptions'!$D$10,'Assumptions'!$D$8)=2),IF(N$6=1,'Assumptions'!$D$10*'Assumptions'!$D$8,0),"Unavailable"))</x:f>
        <x:v>0</x:v>
      </x:c>
      <x:c r="O11" s="35" t="n">
        <x:f>IF(O$8=0,"",IF(AND(O$8=1,COUNT('Assumptions'!$D$10,'Assumptions'!$D$8)=2),IF(O$6=1,'Assumptions'!$D$10*'Assumptions'!$D$8,0),"Unavailable"))</x:f>
        <x:v>0</x:v>
      </x:c>
      <x:c r="P11" s="35" t="n">
        <x:f>IF(P$8=0,"",IF(AND(P$8=1,COUNT('Assumptions'!$D$10,'Assumptions'!$D$8)=2),IF(P$6=1,'Assumptions'!$D$10*'Assumptions'!$D$8,0),"Unavailable"))</x:f>
        <x:v>0</x:v>
      </x:c>
      <x:c r="Q11" s="35" t="str">
        <x:f>IF(Q$8=0,"",IF(AND(Q$8=1,COUNT('Assumptions'!$D$10,'Assumptions'!$D$8)=2),IF(Q$6=1,'Assumptions'!$D$10*'Assumptions'!$D$8,0),"Unavailable"))</x:f>
      </x:c>
      <x:c r="R11" s="35" t="str">
        <x:f>IF(R$8=0,"",IF(AND(R$8=1,COUNT('Assumptions'!$D$10,'Assumptions'!$D$8)=2),IF(R$6=1,'Assumptions'!$D$10*'Assumptions'!$D$8,0),"Unavailable"))</x:f>
      </x:c>
      <x:c r="S11" s="35" t="str">
        <x:f>IF(S$8=0,"",IF(AND(S$8=1,COUNT('Assumptions'!$D$10,'Assumptions'!$D$8)=2),IF(S$6=1,'Assumptions'!$D$10*'Assumptions'!$D$8,0),"Unavailable"))</x:f>
      </x:c>
      <x:c r="T11" s="35" t="str">
        <x:f>IF(T$8=0,"",IF(AND(T$8=1,COUNT('Assumptions'!$D$10,'Assumptions'!$D$8)=2),IF(T$6=1,'Assumptions'!$D$10*'Assumptions'!$D$8,0),"Unavailable"))</x:f>
      </x:c>
      <x:c r="U11" s="35" t="str">
        <x:f>IF(U$8=0,"",IF(AND(U$8=1,COUNT('Assumptions'!$D$10,'Assumptions'!$D$8)=2),IF(U$6=1,'Assumptions'!$D$10*'Assumptions'!$D$8,0),"Unavailable"))</x:f>
      </x:c>
      <x:c r="V11" s="35" t="str">
        <x:f>IF(V$8=0,"",IF(AND(V$8=1,COUNT('Assumptions'!$D$10,'Assumptions'!$D$8)=2),IF(V$6=1,'Assumptions'!$D$10*'Assumptions'!$D$8,0),"Unavailable"))</x:f>
      </x:c>
      <x:c r="W11" s="35" t="str">
        <x:f>IF(W$8=0,"",IF(AND(W$8=1,COUNT('Assumptions'!$D$10,'Assumptions'!$D$8)=2),IF(W$6=1,'Assumptions'!$D$10*'Assumptions'!$D$8,0),"Unavailable"))</x:f>
      </x:c>
      <x:c r="X11" s="35" t="str">
        <x:f>IF(X$8=0,"",IF(AND(X$8=1,COUNT('Assumptions'!$D$10,'Assumptions'!$D$8)=2),IF(X$6=1,'Assumptions'!$D$10*'Assumptions'!$D$8,0),"Unavailable"))</x:f>
      </x:c>
      <x:c r="Y11" s="35" t="str">
        <x:f>IF(Y$8=0,"",IF(AND(Y$8=1,COUNT('Assumptions'!$D$10,'Assumptions'!$D$8)=2),IF(Y$6=1,'Assumptions'!$D$10*'Assumptions'!$D$8,0),"Unavailable"))</x:f>
      </x:c>
      <x:c r="Z11" s="35" t="str">
        <x:f>IF(Z$8=0,"",IF(AND(Z$8=1,COUNT('Assumptions'!$D$10,'Assumptions'!$D$8)=2),IF(Z$6=1,'Assumptions'!$D$10*'Assumptions'!$D$8,0),"Unavailable"))</x:f>
      </x:c>
      <x:c r="AA11" s="35" t="str">
        <x:f>IF(AA$8=0,"",IF(AND(AA$8=1,COUNT('Assumptions'!$D$10,'Assumptions'!$D$8)=2),IF(AA$6=1,'Assumptions'!$D$10*'Assumptions'!$D$8,0),"Unavailable"))</x:f>
      </x:c>
      <x:c r="AB11" s="35" t="str">
        <x:f>IF(AB$8=0,"",IF(AND(AB$8=1,COUNT('Assumptions'!$D$10,'Assumptions'!$D$8)=2),IF(AB$6=1,'Assumptions'!$D$10*'Assumptions'!$D$8,0),"Unavailable"))</x:f>
      </x:c>
    </x:row>
    <x:row r="12" ht="23" customHeight="1">
      <x:c r="A12" s="1"/>
      <x:c r="B12" s="1"/>
      <x:c r="C12" s="1" t="str">
        <x:v>End-of-month principal, USD</x:v>
      </x:c>
      <x:c r="D12" s="3"/>
      <x:c r="E12" s="35" t="n">
        <x:f>IF(E$8=0,"",IF(AND(E$8=1,COUNT(E10,E11,'Assumptions'!$D$11)=3),MIN(E10+E11,'Assumptions'!$D$11),"Unavailable"))</x:f>
        <x:v>1000</x:v>
      </x:c>
      <x:c r="F12" s="35" t="n">
        <x:f>IF(F$8=0,"",IF(AND(F$8=1,COUNT(F10,F11,'Assumptions'!$D$11)=3),MIN(F10+F11,'Assumptions'!$D$11),"Unavailable"))</x:f>
        <x:v>1000</x:v>
      </x:c>
      <x:c r="G12" s="35" t="n">
        <x:f>IF(G$8=0,"",IF(AND(G$8=1,COUNT(G10,G11,'Assumptions'!$D$11)=3),MIN(G10+G11,'Assumptions'!$D$11),"Unavailable"))</x:f>
        <x:v>1000</x:v>
      </x:c>
      <x:c r="H12" s="35" t="n">
        <x:f>IF(H$8=0,"",IF(AND(H$8=1,COUNT(H10,H11,'Assumptions'!$D$11)=3),MIN(H10+H11,'Assumptions'!$D$11),"Unavailable"))</x:f>
        <x:v>1000</x:v>
      </x:c>
      <x:c r="I12" s="35" t="n">
        <x:f>IF(I$8=0,"",IF(AND(I$8=1,COUNT(I10,I11,'Assumptions'!$D$11)=3),MIN(I10+I11,'Assumptions'!$D$11),"Unavailable"))</x:f>
        <x:v>1000</x:v>
      </x:c>
      <x:c r="J12" s="35" t="n">
        <x:f>IF(J$8=0,"",IF(AND(J$8=1,COUNT(J10,J11,'Assumptions'!$D$11)=3),MIN(J10+J11,'Assumptions'!$D$11),"Unavailable"))</x:f>
        <x:v>1000</x:v>
      </x:c>
      <x:c r="K12" s="35" t="n">
        <x:f>IF(K$8=0,"",IF(AND(K$8=1,COUNT(K10,K11,'Assumptions'!$D$11)=3),MIN(K10+K11,'Assumptions'!$D$11),"Unavailable"))</x:f>
        <x:v>1000</x:v>
      </x:c>
      <x:c r="L12" s="35" t="n">
        <x:f>IF(L$8=0,"",IF(AND(L$8=1,COUNT(L10,L11,'Assumptions'!$D$11)=3),MIN(L10+L11,'Assumptions'!$D$11),"Unavailable"))</x:f>
        <x:v>1000</x:v>
      </x:c>
      <x:c r="M12" s="35" t="n">
        <x:f>IF(M$8=0,"",IF(AND(M$8=1,COUNT(M10,M11,'Assumptions'!$D$11)=3),MIN(M10+M11,'Assumptions'!$D$11),"Unavailable"))</x:f>
        <x:v>1000</x:v>
      </x:c>
      <x:c r="N12" s="35" t="n">
        <x:f>IF(N$8=0,"",IF(AND(N$8=1,COUNT(N10,N11,'Assumptions'!$D$11)=3),MIN(N10+N11,'Assumptions'!$D$11),"Unavailable"))</x:f>
        <x:v>1000</x:v>
      </x:c>
      <x:c r="O12" s="35" t="n">
        <x:f>IF(O$8=0,"",IF(AND(O$8=1,COUNT(O10,O11,'Assumptions'!$D$11)=3),MIN(O10+O11,'Assumptions'!$D$11),"Unavailable"))</x:f>
        <x:v>1000</x:v>
      </x:c>
      <x:c r="P12" s="35" t="n">
        <x:f>IF(P$8=0,"",IF(AND(P$8=1,COUNT(P10,P11,'Assumptions'!$D$11)=3),MIN(P10+P11,'Assumptions'!$D$11),"Unavailable"))</x:f>
        <x:v>1000</x:v>
      </x:c>
      <x:c r="Q12" s="35" t="str">
        <x:f>IF(Q$8=0,"",IF(AND(Q$8=1,COUNT(Q10,Q11,'Assumptions'!$D$11)=3),MIN(Q10+Q11,'Assumptions'!$D$11),"Unavailable"))</x:f>
      </x:c>
      <x:c r="R12" s="35" t="str">
        <x:f>IF(R$8=0,"",IF(AND(R$8=1,COUNT(R10,R11,'Assumptions'!$D$11)=3),MIN(R10+R11,'Assumptions'!$D$11),"Unavailable"))</x:f>
      </x:c>
      <x:c r="S12" s="35" t="str">
        <x:f>IF(S$8=0,"",IF(AND(S$8=1,COUNT(S10,S11,'Assumptions'!$D$11)=3),MIN(S10+S11,'Assumptions'!$D$11),"Unavailable"))</x:f>
      </x:c>
      <x:c r="T12" s="35" t="str">
        <x:f>IF(T$8=0,"",IF(AND(T$8=1,COUNT(T10,T11,'Assumptions'!$D$11)=3),MIN(T10+T11,'Assumptions'!$D$11),"Unavailable"))</x:f>
      </x:c>
      <x:c r="U12" s="35" t="str">
        <x:f>IF(U$8=0,"",IF(AND(U$8=1,COUNT(U10,U11,'Assumptions'!$D$11)=3),MIN(U10+U11,'Assumptions'!$D$11),"Unavailable"))</x:f>
      </x:c>
      <x:c r="V12" s="35" t="str">
        <x:f>IF(V$8=0,"",IF(AND(V$8=1,COUNT(V10,V11,'Assumptions'!$D$11)=3),MIN(V10+V11,'Assumptions'!$D$11),"Unavailable"))</x:f>
      </x:c>
      <x:c r="W12" s="35" t="str">
        <x:f>IF(W$8=0,"",IF(AND(W$8=1,COUNT(W10,W11,'Assumptions'!$D$11)=3),MIN(W10+W11,'Assumptions'!$D$11),"Unavailable"))</x:f>
      </x:c>
      <x:c r="X12" s="35" t="str">
        <x:f>IF(X$8=0,"",IF(AND(X$8=1,COUNT(X10,X11,'Assumptions'!$D$11)=3),MIN(X10+X11,'Assumptions'!$D$11),"Unavailable"))</x:f>
      </x:c>
      <x:c r="Y12" s="35" t="str">
        <x:f>IF(Y$8=0,"",IF(AND(Y$8=1,COUNT(Y10,Y11,'Assumptions'!$D$11)=3),MIN(Y10+Y11,'Assumptions'!$D$11),"Unavailable"))</x:f>
      </x:c>
      <x:c r="Z12" s="35" t="str">
        <x:f>IF(Z$8=0,"",IF(AND(Z$8=1,COUNT(Z10,Z11,'Assumptions'!$D$11)=3),MIN(Z10+Z11,'Assumptions'!$D$11),"Unavailable"))</x:f>
      </x:c>
      <x:c r="AA12" s="35" t="str">
        <x:f>IF(AA$8=0,"",IF(AND(AA$8=1,COUNT(AA10,AA11,'Assumptions'!$D$11)=3),MIN(AA10+AA11,'Assumptions'!$D$11),"Unavailable"))</x:f>
      </x:c>
      <x:c r="AB12" s="35" t="str">
        <x:f>IF(AB$8=0,"",IF(AND(AB$8=1,COUNT(AB10,AB11,'Assumptions'!$D$11)=3),MIN(AB10+AB11,'Assumptions'!$D$11),"Unavailable"))</x:f>
      </x:c>
    </x:row>
    <x:row r="13" ht="23" customHeight="1">
      <x:c r="A13" s="1"/>
      <x:c r="B13" s="1"/>
      <x:c r="C13" s="1" t="str">
        <x:v>Interest, USD</x:v>
      </x:c>
      <x:c r="D13" s="3"/>
      <x:c r="E13" s="27"/>
      <x:c r="F13" s="35" t="n">
        <x:f>IF(F$8=0,"",IF(AND(F$8=1,COUNT(F10,F11,'Assumptions'!$D$12)=3),(F10+F11)*'Assumptions'!$D$12/'Assumptions'!$D$14,"Unavailable"))</x:f>
        <x:v>110</x:v>
      </x:c>
      <x:c r="G13" s="35" t="n">
        <x:f>IF(G$8=0,"",IF(AND(G$8=1,COUNT(G10,G11,'Assumptions'!$D$12)=3),(G10+G11)*'Assumptions'!$D$12/'Assumptions'!$D$14,"Unavailable"))</x:f>
        <x:v>100</x:v>
      </x:c>
      <x:c r="H13" s="35" t="n">
        <x:f>IF(H$8=0,"",IF(AND(H$8=1,COUNT(H10,H11,'Assumptions'!$D$12)=3),(H10+H11)*'Assumptions'!$D$12/'Assumptions'!$D$14,"Unavailable"))</x:f>
        <x:v>90</x:v>
      </x:c>
      <x:c r="I13" s="35" t="n">
        <x:f>IF(I$8=0,"",IF(AND(I$8=1,COUNT(I10,I11,'Assumptions'!$D$12)=3),(I10+I11)*'Assumptions'!$D$12/'Assumptions'!$D$14,"Unavailable"))</x:f>
        <x:v>80</x:v>
      </x:c>
      <x:c r="J13" s="35" t="n">
        <x:f>IF(J$8=0,"",IF(AND(J$8=1,COUNT(J10,J11,'Assumptions'!$D$12)=3),(J10+J11)*'Assumptions'!$D$12/'Assumptions'!$D$14,"Unavailable"))</x:f>
        <x:v>70</x:v>
      </x:c>
      <x:c r="K13" s="35" t="n">
        <x:f>IF(K$8=0,"",IF(AND(K$8=1,COUNT(K10,K11,'Assumptions'!$D$12)=3),(K10+K11)*'Assumptions'!$D$12/'Assumptions'!$D$14,"Unavailable"))</x:f>
        <x:v>60</x:v>
      </x:c>
      <x:c r="L13" s="35" t="n">
        <x:f>IF(L$8=0,"",IF(AND(L$8=1,COUNT(L10,L11,'Assumptions'!$D$12)=3),(L10+L11)*'Assumptions'!$D$12/'Assumptions'!$D$14,"Unavailable"))</x:f>
        <x:v>50</x:v>
      </x:c>
      <x:c r="M13" s="35" t="n">
        <x:f>IF(M$8=0,"",IF(AND(M$8=1,COUNT(M10,M11,'Assumptions'!$D$12)=3),(M10+M11)*'Assumptions'!$D$12/'Assumptions'!$D$14,"Unavailable"))</x:f>
        <x:v>40</x:v>
      </x:c>
      <x:c r="N13" s="35" t="n">
        <x:f>IF(N$8=0,"",IF(AND(N$8=1,COUNT(N10,N11,'Assumptions'!$D$12)=3),(N10+N11)*'Assumptions'!$D$12/'Assumptions'!$D$14,"Unavailable"))</x:f>
        <x:v>30</x:v>
      </x:c>
      <x:c r="O13" s="35" t="n">
        <x:f>IF(O$8=0,"",IF(AND(O$8=1,COUNT(O10,O11,'Assumptions'!$D$12)=3),(O10+O11)*'Assumptions'!$D$12/'Assumptions'!$D$14,"Unavailable"))</x:f>
        <x:v>20</x:v>
      </x:c>
      <x:c r="P13" s="35" t="n">
        <x:f>IF(P$8=0,"",IF(AND(P$8=1,COUNT(P10,P11,'Assumptions'!$D$12)=3),(P10+P11)*'Assumptions'!$D$12/'Assumptions'!$D$14,"Unavailable"))</x:f>
        <x:v>10</x:v>
      </x:c>
      <x:c r="Q13" s="35" t="str">
        <x:f>IF(Q$8=0,"",IF(AND(Q$8=1,COUNT(Q10,Q11,'Assumptions'!$D$12)=3),(Q10+Q11)*'Assumptions'!$D$12/'Assumptions'!$D$14,"Unavailable"))</x:f>
      </x:c>
      <x:c r="R13" s="35" t="str">
        <x:f>IF(R$8=0,"",IF(AND(R$8=1,COUNT(R10,R11,'Assumptions'!$D$12)=3),(R10+R11)*'Assumptions'!$D$12/'Assumptions'!$D$14,"Unavailable"))</x:f>
      </x:c>
      <x:c r="S13" s="35" t="str">
        <x:f>IF(S$8=0,"",IF(AND(S$8=1,COUNT(S10,S11,'Assumptions'!$D$12)=3),(S10+S11)*'Assumptions'!$D$12/'Assumptions'!$D$14,"Unavailable"))</x:f>
      </x:c>
      <x:c r="T13" s="35" t="str">
        <x:f>IF(T$8=0,"",IF(AND(T$8=1,COUNT(T10,T11,'Assumptions'!$D$12)=3),(T10+T11)*'Assumptions'!$D$12/'Assumptions'!$D$14,"Unavailable"))</x:f>
      </x:c>
      <x:c r="U13" s="35" t="str">
        <x:f>IF(U$8=0,"",IF(AND(U$8=1,COUNT(U10,U11,'Assumptions'!$D$12)=3),(U10+U11)*'Assumptions'!$D$12/'Assumptions'!$D$14,"Unavailable"))</x:f>
      </x:c>
      <x:c r="V13" s="35" t="str">
        <x:f>IF(V$8=0,"",IF(AND(V$8=1,COUNT(V10,V11,'Assumptions'!$D$12)=3),(V10+V11)*'Assumptions'!$D$12/'Assumptions'!$D$14,"Unavailable"))</x:f>
      </x:c>
      <x:c r="W13" s="35" t="str">
        <x:f>IF(W$8=0,"",IF(AND(W$8=1,COUNT(W10,W11,'Assumptions'!$D$12)=3),(W10+W11)*'Assumptions'!$D$12/'Assumptions'!$D$14,"Unavailable"))</x:f>
      </x:c>
      <x:c r="X13" s="35" t="str">
        <x:f>IF(X$8=0,"",IF(AND(X$8=1,COUNT(X10,X11,'Assumptions'!$D$12)=3),(X10+X11)*'Assumptions'!$D$12/'Assumptions'!$D$14,"Unavailable"))</x:f>
      </x:c>
      <x:c r="Y13" s="35" t="str">
        <x:f>IF(Y$8=0,"",IF(AND(Y$8=1,COUNT(Y10,Y11,'Assumptions'!$D$12)=3),(Y10+Y11)*'Assumptions'!$D$12/'Assumptions'!$D$14,"Unavailable"))</x:f>
      </x:c>
      <x:c r="Z13" s="35" t="str">
        <x:f>IF(Z$8=0,"",IF(AND(Z$8=1,COUNT(Z10,Z11,'Assumptions'!$D$12)=3),(Z10+Z11)*'Assumptions'!$D$12/'Assumptions'!$D$14,"Unavailable"))</x:f>
      </x:c>
      <x:c r="AA13" s="35" t="str">
        <x:f>IF(AA$8=0,"",IF(AND(AA$8=1,COUNT(AA10,AA11,'Assumptions'!$D$12)=3),(AA10+AA11)*'Assumptions'!$D$12/'Assumptions'!$D$14,"Unavailable"))</x:f>
      </x:c>
      <x:c r="AB13" s="35" t="str">
        <x:f>IF(AB$8=0,"",IF(AND(AB$8=1,COUNT(AB10,AB11,'Assumptions'!$D$12)=3),(AB10+AB11)*'Assumptions'!$D$12/'Assumptions'!$D$14,"Unavailable"))</x:f>
      </x:c>
    </x:row>
    <x:row r="14" ht="23" customHeight="1">
      <x:c r="A14" s="1"/>
      <x:c r="B14" s="1"/>
      <x:c r="C14" s="43" t="str">
        <x:v>Closing debt, USD</x:v>
      </x:c>
      <x:c r="D14" s="44"/>
      <x:c r="E14" s="45" t="n">
        <x:f>IF(E$8=0,"",IF(AND(E$8=1,COUNT(E10,E11,E12)=3),E10+E11-E12,"Unavailable"))</x:f>
        <x:v>11000</x:v>
      </x:c>
      <x:c r="F14" s="45" t="n">
        <x:f>IF(F$8=0,"",IF(AND(F$8=1,COUNT(F10,F11,F12)=3),F10+F11-F12,"Unavailable"))</x:f>
        <x:v>10000</x:v>
      </x:c>
      <x:c r="G14" s="45" t="n">
        <x:f>IF(G$8=0,"",IF(AND(G$8=1,COUNT(G10,G11,G12)=3),G10+G11-G12,"Unavailable"))</x:f>
        <x:v>9000</x:v>
      </x:c>
      <x:c r="H14" s="45" t="n">
        <x:f>IF(H$8=0,"",IF(AND(H$8=1,COUNT(H10,H11,H12)=3),H10+H11-H12,"Unavailable"))</x:f>
        <x:v>8000</x:v>
      </x:c>
      <x:c r="I14" s="45" t="n">
        <x:f>IF(I$8=0,"",IF(AND(I$8=1,COUNT(I10,I11,I12)=3),I10+I11-I12,"Unavailable"))</x:f>
        <x:v>7000</x:v>
      </x:c>
      <x:c r="J14" s="45" t="n">
        <x:f>IF(J$8=0,"",IF(AND(J$8=1,COUNT(J10,J11,J12)=3),J10+J11-J12,"Unavailable"))</x:f>
        <x:v>6000</x:v>
      </x:c>
      <x:c r="K14" s="45" t="n">
        <x:f>IF(K$8=0,"",IF(AND(K$8=1,COUNT(K10,K11,K12)=3),K10+K11-K12,"Unavailable"))</x:f>
        <x:v>5000</x:v>
      </x:c>
      <x:c r="L14" s="45" t="n">
        <x:f>IF(L$8=0,"",IF(AND(L$8=1,COUNT(L10,L11,L12)=3),L10+L11-L12,"Unavailable"))</x:f>
        <x:v>4000</x:v>
      </x:c>
      <x:c r="M14" s="45" t="n">
        <x:f>IF(M$8=0,"",IF(AND(M$8=1,COUNT(M10,M11,M12)=3),M10+M11-M12,"Unavailable"))</x:f>
        <x:v>3000</x:v>
      </x:c>
      <x:c r="N14" s="45" t="n">
        <x:f>IF(N$8=0,"",IF(AND(N$8=1,COUNT(N10,N11,N12)=3),N10+N11-N12,"Unavailable"))</x:f>
        <x:v>2000</x:v>
      </x:c>
      <x:c r="O14" s="45" t="n">
        <x:f>IF(O$8=0,"",IF(AND(O$8=1,COUNT(O10,O11,O12)=3),O10+O11-O12,"Unavailable"))</x:f>
        <x:v>1000</x:v>
      </x:c>
      <x:c r="P14" s="45" t="n">
        <x:f>IF(P$8=0,"",IF(AND(P$8=1,COUNT(P10,P11,P12)=3),P10+P11-P12,"Unavailable"))</x:f>
        <x:v>0</x:v>
      </x:c>
      <x:c r="Q14" s="45" t="str">
        <x:f>IF(Q$8=0,"",IF(AND(Q$8=1,COUNT(Q10,Q11,Q12)=3),Q10+Q11-Q12,"Unavailable"))</x:f>
      </x:c>
      <x:c r="R14" s="45" t="str">
        <x:f>IF(R$8=0,"",IF(AND(R$8=1,COUNT(R10,R11,R12)=3),R10+R11-R12,"Unavailable"))</x:f>
      </x:c>
      <x:c r="S14" s="45" t="str">
        <x:f>IF(S$8=0,"",IF(AND(S$8=1,COUNT(S10,S11,S12)=3),S10+S11-S12,"Unavailable"))</x:f>
      </x:c>
      <x:c r="T14" s="45" t="str">
        <x:f>IF(T$8=0,"",IF(AND(T$8=1,COUNT(T10,T11,T12)=3),T10+T11-T12,"Unavailable"))</x:f>
      </x:c>
      <x:c r="U14" s="45" t="str">
        <x:f>IF(U$8=0,"",IF(AND(U$8=1,COUNT(U10,U11,U12)=3),U10+U11-U12,"Unavailable"))</x:f>
      </x:c>
      <x:c r="V14" s="45" t="str">
        <x:f>IF(V$8=0,"",IF(AND(V$8=1,COUNT(V10,V11,V12)=3),V10+V11-V12,"Unavailable"))</x:f>
      </x:c>
      <x:c r="W14" s="45" t="str">
        <x:f>IF(W$8=0,"",IF(AND(W$8=1,COUNT(W10,W11,W12)=3),W10+W11-W12,"Unavailable"))</x:f>
      </x:c>
      <x:c r="X14" s="45" t="str">
        <x:f>IF(X$8=0,"",IF(AND(X$8=1,COUNT(X10,X11,X12)=3),X10+X11-X12,"Unavailable"))</x:f>
      </x:c>
      <x:c r="Y14" s="45" t="str">
        <x:f>IF(Y$8=0,"",IF(AND(Y$8=1,COUNT(Y10,Y11,Y12)=3),Y10+Y11-Y12,"Unavailable"))</x:f>
      </x:c>
      <x:c r="Z14" s="45" t="str">
        <x:f>IF(Z$8=0,"",IF(AND(Z$8=1,COUNT(Z10,Z11,Z12)=3),Z10+Z11-Z12,"Unavailable"))</x:f>
      </x:c>
      <x:c r="AA14" s="45" t="str">
        <x:f>IF(AA$8=0,"",IF(AND(AA$8=1,COUNT(AA10,AA11,AA12)=3),AA10+AA11-AA12,"Unavailable"))</x:f>
      </x:c>
      <x:c r="AB14" s="45" t="str">
        <x:f>IF(AB$8=0,"",IF(AND(AB$8=1,COUNT(AB10,AB11,AB12)=3),AB10+AB11-AB12,"Unavailable"))</x:f>
      </x:c>
    </x:row>
    <x:row r="15" ht="23" customHeight="1">
      <x:c r="A15" s="1"/>
      <x:c r="B15" s="1"/>
      <x:c r="C15" s="1"/>
      <x:c r="D15" s="3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  <x:c r="AA15" s="4"/>
      <x:c r="AB15" s="4"/>
    </x:row>
    <x:row r="16" ht="23" customHeight="1">
      <x:c r="A16" s="1"/>
      <x:c r="B16" s="1"/>
      <x:c r="C16" s="1" t="str">
        <x:v>Opening cash, USD</x:v>
      </x:c>
      <x:c r="D16" s="3"/>
      <x:c r="E16" s="35" t="n">
        <x:f>IF(E$8=0,"",IF(AND(E$8=1,COUNT('Sources'!$D$6)=1),'Sources'!$D$6,"Unavailable"))</x:f>
        <x:v>6000</x:v>
      </x:c>
      <x:c r="F16" s="4" t="str">
        <x:f>IF(F$8=0,"",IF(AND(F$8=1,COUNT(E25)=1),E25,"Unavailable"))</x:f>
        <x:v>Unavailable</x:v>
      </x:c>
      <x:c r="G16" s="4" t="str">
        <x:f>IF(G$8=0,"",IF(AND(G$8=1,COUNT(F25)=1),F25,"Unavailable"))</x:f>
        <x:v>Unavailable</x:v>
      </x:c>
      <x:c r="H16" s="4" t="str">
        <x:f>IF(H$8=0,"",IF(AND(H$8=1,COUNT(G25)=1),G25,"Unavailable"))</x:f>
        <x:v>Unavailable</x:v>
      </x:c>
      <x:c r="I16" s="4" t="str">
        <x:f>IF(I$8=0,"",IF(AND(I$8=1,COUNT(H25)=1),H25,"Unavailable"))</x:f>
        <x:v>Unavailable</x:v>
      </x:c>
      <x:c r="J16" s="4" t="str">
        <x:f>IF(J$8=0,"",IF(AND(J$8=1,COUNT(I25)=1),I25,"Unavailable"))</x:f>
        <x:v>Unavailable</x:v>
      </x:c>
      <x:c r="K16" s="4" t="str">
        <x:f>IF(K$8=0,"",IF(AND(K$8=1,COUNT(J25)=1),J25,"Unavailable"))</x:f>
        <x:v>Unavailable</x:v>
      </x:c>
      <x:c r="L16" s="4" t="str">
        <x:f>IF(L$8=0,"",IF(AND(L$8=1,COUNT(K25)=1),K25,"Unavailable"))</x:f>
        <x:v>Unavailable</x:v>
      </x:c>
      <x:c r="M16" s="4" t="str">
        <x:f>IF(M$8=0,"",IF(AND(M$8=1,COUNT(L25)=1),L25,"Unavailable"))</x:f>
        <x:v>Unavailable</x:v>
      </x:c>
      <x:c r="N16" s="4" t="str">
        <x:f>IF(N$8=0,"",IF(AND(N$8=1,COUNT(M25)=1),M25,"Unavailable"))</x:f>
        <x:v>Unavailable</x:v>
      </x:c>
      <x:c r="O16" s="4" t="str">
        <x:f>IF(O$8=0,"",IF(AND(O$8=1,COUNT(N25)=1),N25,"Unavailable"))</x:f>
        <x:v>Unavailable</x:v>
      </x:c>
      <x:c r="P16" s="4" t="str">
        <x:f>IF(P$8=0,"",IF(AND(P$8=1,COUNT(O25)=1),O25,"Unavailable"))</x:f>
        <x:v>Unavailable</x:v>
      </x:c>
      <x:c r="Q16" s="4" t="str">
        <x:f>IF(Q$8=0,"",IF(AND(Q$8=1,COUNT(P25)=1),P25,"Unavailable"))</x:f>
      </x:c>
      <x:c r="R16" s="4" t="str">
        <x:f>IF(R$8=0,"",IF(AND(R$8=1,COUNT(Q25)=1),Q25,"Unavailable"))</x:f>
      </x:c>
      <x:c r="S16" s="4" t="str">
        <x:f>IF(S$8=0,"",IF(AND(S$8=1,COUNT(R25)=1),R25,"Unavailable"))</x:f>
      </x:c>
      <x:c r="T16" s="4" t="str">
        <x:f>IF(T$8=0,"",IF(AND(T$8=1,COUNT(S25)=1),S25,"Unavailable"))</x:f>
      </x:c>
      <x:c r="U16" s="4" t="str">
        <x:f>IF(U$8=0,"",IF(AND(U$8=1,COUNT(T25)=1),T25,"Unavailable"))</x:f>
      </x:c>
      <x:c r="V16" s="4" t="str">
        <x:f>IF(V$8=0,"",IF(AND(V$8=1,COUNT(U25)=1),U25,"Unavailable"))</x:f>
      </x:c>
      <x:c r="W16" s="4" t="str">
        <x:f>IF(W$8=0,"",IF(AND(W$8=1,COUNT(V25)=1),V25,"Unavailable"))</x:f>
      </x:c>
      <x:c r="X16" s="4" t="str">
        <x:f>IF(X$8=0,"",IF(AND(X$8=1,COUNT(W25)=1),W25,"Unavailable"))</x:f>
      </x:c>
      <x:c r="Y16" s="4" t="str">
        <x:f>IF(Y$8=0,"",IF(AND(Y$8=1,COUNT(X25)=1),X25,"Unavailable"))</x:f>
      </x:c>
      <x:c r="Z16" s="4" t="str">
        <x:f>IF(Z$8=0,"",IF(AND(Z$8=1,COUNT(Y25)=1),Y25,"Unavailable"))</x:f>
      </x:c>
      <x:c r="AA16" s="4" t="str">
        <x:f>IF(AA$8=0,"",IF(AND(AA$8=1,COUNT(Z25)=1),Z25,"Unavailable"))</x:f>
      </x:c>
      <x:c r="AB16" s="4" t="str">
        <x:f>IF(AB$8=0,"",IF(AND(AB$8=1,COUNT(AA25)=1),AA25,"Unavailable"))</x:f>
      </x:c>
    </x:row>
    <x:row r="17" ht="23" customHeight="1">
      <x:c r="A17" s="1"/>
      <x:c r="B17" s="1"/>
      <x:c r="C17" s="1" t="str">
        <x:v>Collections, USD</x:v>
      </x:c>
      <x:c r="D17" s="3"/>
      <x:c r="E17" s="35" t="str">
        <x:f>IF(E$8=0,"",IF(AND(E$8=1,COUNT('Collections'!E13)=1),'Collections'!E13,"Unavailable"))</x:f>
        <x:v>Unavailable</x:v>
      </x:c>
      <x:c r="F17" s="35" t="str">
        <x:f>IF(F$8=0,"",IF(AND(F$8=1,COUNT('Collections'!F13)=1),'Collections'!F13,"Unavailable"))</x:f>
        <x:v>Unavailable</x:v>
      </x:c>
      <x:c r="G17" s="35" t="n">
        <x:f>IF(G$8=0,"",IF(AND(G$8=1,COUNT('Collections'!G13)=1),'Collections'!G13,"Unavailable"))</x:f>
        <x:v>13750</x:v>
      </x:c>
      <x:c r="H17" s="35" t="n">
        <x:f>IF(H$8=0,"",IF(AND(H$8=1,COUNT('Collections'!H13)=1),'Collections'!H13,"Unavailable"))</x:f>
        <x:v>14750</x:v>
      </x:c>
      <x:c r="I17" s="35" t="n">
        <x:f>IF(I$8=0,"",IF(AND(I$8=1,COUNT('Collections'!I13)=1),'Collections'!I13,"Unavailable"))</x:f>
        <x:v>15750</x:v>
      </x:c>
      <x:c r="J17" s="35" t="n">
        <x:f>IF(J$8=0,"",IF(AND(J$8=1,COUNT('Collections'!J13)=1),'Collections'!J13,"Unavailable"))</x:f>
        <x:v>16750</x:v>
      </x:c>
      <x:c r="K17" s="35" t="n">
        <x:f>IF(K$8=0,"",IF(AND(K$8=1,COUNT('Collections'!K13)=1),'Collections'!K13,"Unavailable"))</x:f>
        <x:v>17750</x:v>
      </x:c>
      <x:c r="L17" s="35" t="n">
        <x:f>IF(L$8=0,"",IF(AND(L$8=1,COUNT('Collections'!L13)=1),'Collections'!L13,"Unavailable"))</x:f>
        <x:v>18750</x:v>
      </x:c>
      <x:c r="M17" s="35" t="n">
        <x:f>IF(M$8=0,"",IF(AND(M$8=1,COUNT('Collections'!M13)=1),'Collections'!M13,"Unavailable"))</x:f>
        <x:v>19750</x:v>
      </x:c>
      <x:c r="N17" s="35" t="n">
        <x:f>IF(N$8=0,"",IF(AND(N$8=1,COUNT('Collections'!N13)=1),'Collections'!N13,"Unavailable"))</x:f>
        <x:v>20000</x:v>
      </x:c>
      <x:c r="O17" s="35" t="n">
        <x:f>IF(O$8=0,"",IF(AND(O$8=1,COUNT('Collections'!O13)=1),'Collections'!O13,"Unavailable"))</x:f>
        <x:v>20000</x:v>
      </x:c>
      <x:c r="P17" s="35" t="n">
        <x:f>IF(P$8=0,"",IF(AND(P$8=1,COUNT('Collections'!P13)=1),'Collections'!P13,"Unavailable"))</x:f>
        <x:v>20000</x:v>
      </x:c>
      <x:c r="Q17" s="35" t="str">
        <x:f>IF(Q$8=0,"",IF(AND(Q$8=1,COUNT('Collections'!Q13)=1),'Collections'!Q13,"Unavailable"))</x:f>
      </x:c>
      <x:c r="R17" s="35" t="str">
        <x:f>IF(R$8=0,"",IF(AND(R$8=1,COUNT('Collections'!R13)=1),'Collections'!R13,"Unavailable"))</x:f>
      </x:c>
      <x:c r="S17" s="35" t="str">
        <x:f>IF(S$8=0,"",IF(AND(S$8=1,COUNT('Collections'!S13)=1),'Collections'!S13,"Unavailable"))</x:f>
      </x:c>
      <x:c r="T17" s="35" t="str">
        <x:f>IF(T$8=0,"",IF(AND(T$8=1,COUNT('Collections'!T13)=1),'Collections'!T13,"Unavailable"))</x:f>
      </x:c>
      <x:c r="U17" s="35" t="str">
        <x:f>IF(U$8=0,"",IF(AND(U$8=1,COUNT('Collections'!U13)=1),'Collections'!U13,"Unavailable"))</x:f>
      </x:c>
      <x:c r="V17" s="35" t="str">
        <x:f>IF(V$8=0,"",IF(AND(V$8=1,COUNT('Collections'!V13)=1),'Collections'!V13,"Unavailable"))</x:f>
      </x:c>
      <x:c r="W17" s="35" t="str">
        <x:f>IF(W$8=0,"",IF(AND(W$8=1,COUNT('Collections'!W13)=1),'Collections'!W13,"Unavailable"))</x:f>
      </x:c>
      <x:c r="X17" s="35" t="str">
        <x:f>IF(X$8=0,"",IF(AND(X$8=1,COUNT('Collections'!X13)=1),'Collections'!X13,"Unavailable"))</x:f>
      </x:c>
      <x:c r="Y17" s="35" t="str">
        <x:f>IF(Y$8=0,"",IF(AND(Y$8=1,COUNT('Collections'!Y13)=1),'Collections'!Y13,"Unavailable"))</x:f>
      </x:c>
      <x:c r="Z17" s="35" t="str">
        <x:f>IF(Z$8=0,"",IF(AND(Z$8=1,COUNT('Collections'!Z13)=1),'Collections'!Z13,"Unavailable"))</x:f>
      </x:c>
      <x:c r="AA17" s="35" t="str">
        <x:f>IF(AA$8=0,"",IF(AND(AA$8=1,COUNT('Collections'!AA13)=1),'Collections'!AA13,"Unavailable"))</x:f>
      </x:c>
      <x:c r="AB17" s="35" t="str">
        <x:f>IF(AB$8=0,"",IF(AND(AB$8=1,COUNT('Collections'!AB13)=1),'Collections'!AB13,"Unavailable"))</x:f>
      </x:c>
    </x:row>
    <x:row r="18" ht="23" customHeight="1">
      <x:c r="A18" s="1"/>
      <x:c r="B18" s="1"/>
      <x:c r="C18" s="1" t="str">
        <x:v>Variable cash payments, USD</x:v>
      </x:c>
      <x:c r="D18" s="3"/>
      <x:c r="E18" s="35" t="str">
        <x:f>IF(E$8=0,"",IF(AND(E$8=1,COUNT('Operations'!E17)=1),'Operations'!E17,"Unavailable"))</x:f>
        <x:v>Unavailable</x:v>
      </x:c>
      <x:c r="F18" s="35" t="n">
        <x:f>IF(F$8=0,"",IF(AND(F$8=1,COUNT('Operations'!F17)=1),'Operations'!F17,"Unavailable"))</x:f>
        <x:v>5200</x:v>
      </x:c>
      <x:c r="G18" s="35" t="n">
        <x:f>IF(G$8=0,"",IF(AND(G$8=1,COUNT('Operations'!G17)=1),'Operations'!G17,"Unavailable"))</x:f>
        <x:v>5600</x:v>
      </x:c>
      <x:c r="H18" s="35" t="n">
        <x:f>IF(H$8=0,"",IF(AND(H$8=1,COUNT('Operations'!H17)=1),'Operations'!H17,"Unavailable"))</x:f>
        <x:v>6000</x:v>
      </x:c>
      <x:c r="I18" s="35" t="n">
        <x:f>IF(I$8=0,"",IF(AND(I$8=1,COUNT('Operations'!I17)=1),'Operations'!I17,"Unavailable"))</x:f>
        <x:v>6400</x:v>
      </x:c>
      <x:c r="J18" s="35" t="n">
        <x:f>IF(J$8=0,"",IF(AND(J$8=1,COUNT('Operations'!J17)=1),'Operations'!J17,"Unavailable"))</x:f>
        <x:v>6800</x:v>
      </x:c>
      <x:c r="K18" s="35" t="n">
        <x:f>IF(K$8=0,"",IF(AND(K$8=1,COUNT('Operations'!K17)=1),'Operations'!K17,"Unavailable"))</x:f>
        <x:v>7200</x:v>
      </x:c>
      <x:c r="L18" s="35" t="n">
        <x:f>IF(L$8=0,"",IF(AND(L$8=1,COUNT('Operations'!L17)=1),'Operations'!L17,"Unavailable"))</x:f>
        <x:v>7600</x:v>
      </x:c>
      <x:c r="M18" s="35" t="n">
        <x:f>IF(M$8=0,"",IF(AND(M$8=1,COUNT('Operations'!M17)=1),'Operations'!M17,"Unavailable"))</x:f>
        <x:v>8000</x:v>
      </x:c>
      <x:c r="N18" s="35" t="n">
        <x:f>IF(N$8=0,"",IF(AND(N$8=1,COUNT('Operations'!N17)=1),'Operations'!N17,"Unavailable"))</x:f>
        <x:v>8000</x:v>
      </x:c>
      <x:c r="O18" s="35" t="n">
        <x:f>IF(O$8=0,"",IF(AND(O$8=1,COUNT('Operations'!O17)=1),'Operations'!O17,"Unavailable"))</x:f>
        <x:v>8000</x:v>
      </x:c>
      <x:c r="P18" s="35" t="n">
        <x:f>IF(P$8=0,"",IF(AND(P$8=1,COUNT('Operations'!P17)=1),'Operations'!P17,"Unavailable"))</x:f>
        <x:v>8000</x:v>
      </x:c>
      <x:c r="Q18" s="35" t="str">
        <x:f>IF(Q$8=0,"",IF(AND(Q$8=1,COUNT('Operations'!Q17)=1),'Operations'!Q17,"Unavailable"))</x:f>
      </x:c>
      <x:c r="R18" s="35" t="str">
        <x:f>IF(R$8=0,"",IF(AND(R$8=1,COUNT('Operations'!R17)=1),'Operations'!R17,"Unavailable"))</x:f>
      </x:c>
      <x:c r="S18" s="35" t="str">
        <x:f>IF(S$8=0,"",IF(AND(S$8=1,COUNT('Operations'!S17)=1),'Operations'!S17,"Unavailable"))</x:f>
      </x:c>
      <x:c r="T18" s="35" t="str">
        <x:f>IF(T$8=0,"",IF(AND(T$8=1,COUNT('Operations'!T17)=1),'Operations'!T17,"Unavailable"))</x:f>
      </x:c>
      <x:c r="U18" s="35" t="str">
        <x:f>IF(U$8=0,"",IF(AND(U$8=1,COUNT('Operations'!U17)=1),'Operations'!U17,"Unavailable"))</x:f>
      </x:c>
      <x:c r="V18" s="35" t="str">
        <x:f>IF(V$8=0,"",IF(AND(V$8=1,COUNT('Operations'!V17)=1),'Operations'!V17,"Unavailable"))</x:f>
      </x:c>
      <x:c r="W18" s="35" t="str">
        <x:f>IF(W$8=0,"",IF(AND(W$8=1,COUNT('Operations'!W17)=1),'Operations'!W17,"Unavailable"))</x:f>
      </x:c>
      <x:c r="X18" s="35" t="str">
        <x:f>IF(X$8=0,"",IF(AND(X$8=1,COUNT('Operations'!X17)=1),'Operations'!X17,"Unavailable"))</x:f>
      </x:c>
      <x:c r="Y18" s="35" t="str">
        <x:f>IF(Y$8=0,"",IF(AND(Y$8=1,COUNT('Operations'!Y17)=1),'Operations'!Y17,"Unavailable"))</x:f>
      </x:c>
      <x:c r="Z18" s="35" t="str">
        <x:f>IF(Z$8=0,"",IF(AND(Z$8=1,COUNT('Operations'!Z17)=1),'Operations'!Z17,"Unavailable"))</x:f>
      </x:c>
      <x:c r="AA18" s="35" t="str">
        <x:f>IF(AA$8=0,"",IF(AND(AA$8=1,COUNT('Operations'!AA17)=1),'Operations'!AA17,"Unavailable"))</x:f>
      </x:c>
      <x:c r="AB18" s="35" t="str">
        <x:f>IF(AB$8=0,"",IF(AND(AB$8=1,COUNT('Operations'!AB17)=1),'Operations'!AB17,"Unavailable"))</x:f>
      </x:c>
    </x:row>
    <x:row r="19" ht="23" customHeight="1">
      <x:c r="A19" s="1"/>
      <x:c r="B19" s="1"/>
      <x:c r="C19" s="1" t="str">
        <x:v>Fixed cash payments, USD</x:v>
      </x:c>
      <x:c r="D19" s="3"/>
      <x:c r="E19" s="35" t="n">
        <x:f>IF(E$8=0,"",IF(AND(E$8=1,COUNT('Operations'!E18)=1),'Operations'!E18,"Unavailable"))</x:f>
        <x:v>3000</x:v>
      </x:c>
      <x:c r="F19" s="35" t="n">
        <x:f>IF(F$8=0,"",IF(AND(F$8=1,COUNT('Operations'!F18)=1),'Operations'!F18,"Unavailable"))</x:f>
        <x:v>3000</x:v>
      </x:c>
      <x:c r="G19" s="35" t="n">
        <x:f>IF(G$8=0,"",IF(AND(G$8=1,COUNT('Operations'!G18)=1),'Operations'!G18,"Unavailable"))</x:f>
        <x:v>3000</x:v>
      </x:c>
      <x:c r="H19" s="35" t="n">
        <x:f>IF(H$8=0,"",IF(AND(H$8=1,COUNT('Operations'!H18)=1),'Operations'!H18,"Unavailable"))</x:f>
        <x:v>3000</x:v>
      </x:c>
      <x:c r="I19" s="35" t="n">
        <x:f>IF(I$8=0,"",IF(AND(I$8=1,COUNT('Operations'!I18)=1),'Operations'!I18,"Unavailable"))</x:f>
        <x:v>3000</x:v>
      </x:c>
      <x:c r="J19" s="35" t="n">
        <x:f>IF(J$8=0,"",IF(AND(J$8=1,COUNT('Operations'!J18)=1),'Operations'!J18,"Unavailable"))</x:f>
        <x:v>3000</x:v>
      </x:c>
      <x:c r="K19" s="35" t="n">
        <x:f>IF(K$8=0,"",IF(AND(K$8=1,COUNT('Operations'!K18)=1),'Operations'!K18,"Unavailable"))</x:f>
        <x:v>3000</x:v>
      </x:c>
      <x:c r="L19" s="35" t="n">
        <x:f>IF(L$8=0,"",IF(AND(L$8=1,COUNT('Operations'!L18)=1),'Operations'!L18,"Unavailable"))</x:f>
        <x:v>3000</x:v>
      </x:c>
      <x:c r="M19" s="35" t="n">
        <x:f>IF(M$8=0,"",IF(AND(M$8=1,COUNT('Operations'!M18)=1),'Operations'!M18,"Unavailable"))</x:f>
        <x:v>3000</x:v>
      </x:c>
      <x:c r="N19" s="35" t="n">
        <x:f>IF(N$8=0,"",IF(AND(N$8=1,COUNT('Operations'!N18)=1),'Operations'!N18,"Unavailable"))</x:f>
        <x:v>3000</x:v>
      </x:c>
      <x:c r="O19" s="35" t="n">
        <x:f>IF(O$8=0,"",IF(AND(O$8=1,COUNT('Operations'!O18)=1),'Operations'!O18,"Unavailable"))</x:f>
        <x:v>3000</x:v>
      </x:c>
      <x:c r="P19" s="35" t="n">
        <x:f>IF(P$8=0,"",IF(AND(P$8=1,COUNT('Operations'!P18)=1),'Operations'!P18,"Unavailable"))</x:f>
        <x:v>3000</x:v>
      </x:c>
      <x:c r="Q19" s="35" t="str">
        <x:f>IF(Q$8=0,"",IF(AND(Q$8=1,COUNT('Operations'!Q18)=1),'Operations'!Q18,"Unavailable"))</x:f>
      </x:c>
      <x:c r="R19" s="35" t="str">
        <x:f>IF(R$8=0,"",IF(AND(R$8=1,COUNT('Operations'!R18)=1),'Operations'!R18,"Unavailable"))</x:f>
      </x:c>
      <x:c r="S19" s="35" t="str">
        <x:f>IF(S$8=0,"",IF(AND(S$8=1,COUNT('Operations'!S18)=1),'Operations'!S18,"Unavailable"))</x:f>
      </x:c>
      <x:c r="T19" s="35" t="str">
        <x:f>IF(T$8=0,"",IF(AND(T$8=1,COUNT('Operations'!T18)=1),'Operations'!T18,"Unavailable"))</x:f>
      </x:c>
      <x:c r="U19" s="35" t="str">
        <x:f>IF(U$8=0,"",IF(AND(U$8=1,COUNT('Operations'!U18)=1),'Operations'!U18,"Unavailable"))</x:f>
      </x:c>
      <x:c r="V19" s="35" t="str">
        <x:f>IF(V$8=0,"",IF(AND(V$8=1,COUNT('Operations'!V18)=1),'Operations'!V18,"Unavailable"))</x:f>
      </x:c>
      <x:c r="W19" s="35" t="str">
        <x:f>IF(W$8=0,"",IF(AND(W$8=1,COUNT('Operations'!W18)=1),'Operations'!W18,"Unavailable"))</x:f>
      </x:c>
      <x:c r="X19" s="35" t="str">
        <x:f>IF(X$8=0,"",IF(AND(X$8=1,COUNT('Operations'!X18)=1),'Operations'!X18,"Unavailable"))</x:f>
      </x:c>
      <x:c r="Y19" s="35" t="str">
        <x:f>IF(Y$8=0,"",IF(AND(Y$8=1,COUNT('Operations'!Y18)=1),'Operations'!Y18,"Unavailable"))</x:f>
      </x:c>
      <x:c r="Z19" s="35" t="str">
        <x:f>IF(Z$8=0,"",IF(AND(Z$8=1,COUNT('Operations'!Z18)=1),'Operations'!Z18,"Unavailable"))</x:f>
      </x:c>
      <x:c r="AA19" s="35" t="str">
        <x:f>IF(AA$8=0,"",IF(AND(AA$8=1,COUNT('Operations'!AA18)=1),'Operations'!AA18,"Unavailable"))</x:f>
      </x:c>
      <x:c r="AB19" s="35" t="str">
        <x:f>IF(AB$8=0,"",IF(AND(AB$8=1,COUNT('Operations'!AB18)=1),'Operations'!AB18,"Unavailable"))</x:f>
      </x:c>
    </x:row>
    <x:row r="20" ht="23" customHeight="1">
      <x:c r="A20" s="1"/>
      <x:c r="B20" s="1"/>
      <x:c r="C20" s="1" t="str">
        <x:v>Equipment capex, USD</x:v>
      </x:c>
      <x:c r="D20" s="3"/>
      <x:c r="E20" s="35" t="n">
        <x:f>IF(E$8=0,"",IF(AND(E$8=1,COUNT('Sources'!$D$10,'Assumptions'!$D$8)=2),IF(E$6=1,'Sources'!$D$10*'Assumptions'!$D$8,0),"Unavailable"))</x:f>
        <x:v>24000</x:v>
      </x:c>
      <x:c r="F20" s="35" t="n">
        <x:f>IF(F$8=0,"",IF(AND(F$8=1,COUNT('Sources'!$D$10,'Assumptions'!$D$8)=2),IF(F$6=1,'Sources'!$D$10*'Assumptions'!$D$8,0),"Unavailable"))</x:f>
        <x:v>0</x:v>
      </x:c>
      <x:c r="G20" s="35" t="n">
        <x:f>IF(G$8=0,"",IF(AND(G$8=1,COUNT('Sources'!$D$10,'Assumptions'!$D$8)=2),IF(G$6=1,'Sources'!$D$10*'Assumptions'!$D$8,0),"Unavailable"))</x:f>
        <x:v>0</x:v>
      </x:c>
      <x:c r="H20" s="35" t="n">
        <x:f>IF(H$8=0,"",IF(AND(H$8=1,COUNT('Sources'!$D$10,'Assumptions'!$D$8)=2),IF(H$6=1,'Sources'!$D$10*'Assumptions'!$D$8,0),"Unavailable"))</x:f>
        <x:v>0</x:v>
      </x:c>
      <x:c r="I20" s="35" t="n">
        <x:f>IF(I$8=0,"",IF(AND(I$8=1,COUNT('Sources'!$D$10,'Assumptions'!$D$8)=2),IF(I$6=1,'Sources'!$D$10*'Assumptions'!$D$8,0),"Unavailable"))</x:f>
        <x:v>0</x:v>
      </x:c>
      <x:c r="J20" s="35" t="n">
        <x:f>IF(J$8=0,"",IF(AND(J$8=1,COUNT('Sources'!$D$10,'Assumptions'!$D$8)=2),IF(J$6=1,'Sources'!$D$10*'Assumptions'!$D$8,0),"Unavailable"))</x:f>
        <x:v>0</x:v>
      </x:c>
      <x:c r="K20" s="35" t="n">
        <x:f>IF(K$8=0,"",IF(AND(K$8=1,COUNT('Sources'!$D$10,'Assumptions'!$D$8)=2),IF(K$6=1,'Sources'!$D$10*'Assumptions'!$D$8,0),"Unavailable"))</x:f>
        <x:v>0</x:v>
      </x:c>
      <x:c r="L20" s="35" t="n">
        <x:f>IF(L$8=0,"",IF(AND(L$8=1,COUNT('Sources'!$D$10,'Assumptions'!$D$8)=2),IF(L$6=1,'Sources'!$D$10*'Assumptions'!$D$8,0),"Unavailable"))</x:f>
        <x:v>0</x:v>
      </x:c>
      <x:c r="M20" s="35" t="n">
        <x:f>IF(M$8=0,"",IF(AND(M$8=1,COUNT('Sources'!$D$10,'Assumptions'!$D$8)=2),IF(M$6=1,'Sources'!$D$10*'Assumptions'!$D$8,0),"Unavailable"))</x:f>
        <x:v>0</x:v>
      </x:c>
      <x:c r="N20" s="35" t="n">
        <x:f>IF(N$8=0,"",IF(AND(N$8=1,COUNT('Sources'!$D$10,'Assumptions'!$D$8)=2),IF(N$6=1,'Sources'!$D$10*'Assumptions'!$D$8,0),"Unavailable"))</x:f>
        <x:v>0</x:v>
      </x:c>
      <x:c r="O20" s="35" t="n">
        <x:f>IF(O$8=0,"",IF(AND(O$8=1,COUNT('Sources'!$D$10,'Assumptions'!$D$8)=2),IF(O$6=1,'Sources'!$D$10*'Assumptions'!$D$8,0),"Unavailable"))</x:f>
        <x:v>0</x:v>
      </x:c>
      <x:c r="P20" s="35" t="n">
        <x:f>IF(P$8=0,"",IF(AND(P$8=1,COUNT('Sources'!$D$10,'Assumptions'!$D$8)=2),IF(P$6=1,'Sources'!$D$10*'Assumptions'!$D$8,0),"Unavailable"))</x:f>
        <x:v>0</x:v>
      </x:c>
      <x:c r="Q20" s="35" t="str">
        <x:f>IF(Q$8=0,"",IF(AND(Q$8=1,COUNT('Sources'!$D$10,'Assumptions'!$D$8)=2),IF(Q$6=1,'Sources'!$D$10*'Assumptions'!$D$8,0),"Unavailable"))</x:f>
      </x:c>
      <x:c r="R20" s="35" t="str">
        <x:f>IF(R$8=0,"",IF(AND(R$8=1,COUNT('Sources'!$D$10,'Assumptions'!$D$8)=2),IF(R$6=1,'Sources'!$D$10*'Assumptions'!$D$8,0),"Unavailable"))</x:f>
      </x:c>
      <x:c r="S20" s="35" t="str">
        <x:f>IF(S$8=0,"",IF(AND(S$8=1,COUNT('Sources'!$D$10,'Assumptions'!$D$8)=2),IF(S$6=1,'Sources'!$D$10*'Assumptions'!$D$8,0),"Unavailable"))</x:f>
      </x:c>
      <x:c r="T20" s="35" t="str">
        <x:f>IF(T$8=0,"",IF(AND(T$8=1,COUNT('Sources'!$D$10,'Assumptions'!$D$8)=2),IF(T$6=1,'Sources'!$D$10*'Assumptions'!$D$8,0),"Unavailable"))</x:f>
      </x:c>
      <x:c r="U20" s="35" t="str">
        <x:f>IF(U$8=0,"",IF(AND(U$8=1,COUNT('Sources'!$D$10,'Assumptions'!$D$8)=2),IF(U$6=1,'Sources'!$D$10*'Assumptions'!$D$8,0),"Unavailable"))</x:f>
      </x:c>
      <x:c r="V20" s="35" t="str">
        <x:f>IF(V$8=0,"",IF(AND(V$8=1,COUNT('Sources'!$D$10,'Assumptions'!$D$8)=2),IF(V$6=1,'Sources'!$D$10*'Assumptions'!$D$8,0),"Unavailable"))</x:f>
      </x:c>
      <x:c r="W20" s="35" t="str">
        <x:f>IF(W$8=0,"",IF(AND(W$8=1,COUNT('Sources'!$D$10,'Assumptions'!$D$8)=2),IF(W$6=1,'Sources'!$D$10*'Assumptions'!$D$8,0),"Unavailable"))</x:f>
      </x:c>
      <x:c r="X20" s="35" t="str">
        <x:f>IF(X$8=0,"",IF(AND(X$8=1,COUNT('Sources'!$D$10,'Assumptions'!$D$8)=2),IF(X$6=1,'Sources'!$D$10*'Assumptions'!$D$8,0),"Unavailable"))</x:f>
      </x:c>
      <x:c r="Y20" s="35" t="str">
        <x:f>IF(Y$8=0,"",IF(AND(Y$8=1,COUNT('Sources'!$D$10,'Assumptions'!$D$8)=2),IF(Y$6=1,'Sources'!$D$10*'Assumptions'!$D$8,0),"Unavailable"))</x:f>
      </x:c>
      <x:c r="Z20" s="35" t="str">
        <x:f>IF(Z$8=0,"",IF(AND(Z$8=1,COUNT('Sources'!$D$10,'Assumptions'!$D$8)=2),IF(Z$6=1,'Sources'!$D$10*'Assumptions'!$D$8,0),"Unavailable"))</x:f>
      </x:c>
      <x:c r="AA20" s="35" t="str">
        <x:f>IF(AA$8=0,"",IF(AND(AA$8=1,COUNT('Sources'!$D$10,'Assumptions'!$D$8)=2),IF(AA$6=1,'Sources'!$D$10*'Assumptions'!$D$8,0),"Unavailable"))</x:f>
      </x:c>
      <x:c r="AB20" s="35" t="str">
        <x:f>IF(AB$8=0,"",IF(AND(AB$8=1,COUNT('Sources'!$D$10,'Assumptions'!$D$8)=2),IF(AB$6=1,'Sources'!$D$10*'Assumptions'!$D$8,0),"Unavailable"))</x:f>
      </x:c>
    </x:row>
    <x:row r="21" ht="23" customHeight="1">
      <x:c r="A21" s="1"/>
      <x:c r="B21" s="1"/>
      <x:c r="C21" s="1" t="str">
        <x:v>Debt draw, USD</x:v>
      </x:c>
      <x:c r="D21" s="3"/>
      <x:c r="E21" s="4" t="n">
        <x:f>IF(E$8=0,"",IF(AND(E$8=1,COUNT(E11)=1),E11,"Unavailable"))</x:f>
        <x:v>12000</x:v>
      </x:c>
      <x:c r="F21" s="4" t="n">
        <x:f>IF(F$8=0,"",IF(AND(F$8=1,COUNT(F11)=1),F11,"Unavailable"))</x:f>
        <x:v>0</x:v>
      </x:c>
      <x:c r="G21" s="4" t="n">
        <x:f>IF(G$8=0,"",IF(AND(G$8=1,COUNT(G11)=1),G11,"Unavailable"))</x:f>
        <x:v>0</x:v>
      </x:c>
      <x:c r="H21" s="4" t="n">
        <x:f>IF(H$8=0,"",IF(AND(H$8=1,COUNT(H11)=1),H11,"Unavailable"))</x:f>
        <x:v>0</x:v>
      </x:c>
      <x:c r="I21" s="4" t="n">
        <x:f>IF(I$8=0,"",IF(AND(I$8=1,COUNT(I11)=1),I11,"Unavailable"))</x:f>
        <x:v>0</x:v>
      </x:c>
      <x:c r="J21" s="4" t="n">
        <x:f>IF(J$8=0,"",IF(AND(J$8=1,COUNT(J11)=1),J11,"Unavailable"))</x:f>
        <x:v>0</x:v>
      </x:c>
      <x:c r="K21" s="4" t="n">
        <x:f>IF(K$8=0,"",IF(AND(K$8=1,COUNT(K11)=1),K11,"Unavailable"))</x:f>
        <x:v>0</x:v>
      </x:c>
      <x:c r="L21" s="4" t="n">
        <x:f>IF(L$8=0,"",IF(AND(L$8=1,COUNT(L11)=1),L11,"Unavailable"))</x:f>
        <x:v>0</x:v>
      </x:c>
      <x:c r="M21" s="4" t="n">
        <x:f>IF(M$8=0,"",IF(AND(M$8=1,COUNT(M11)=1),M11,"Unavailable"))</x:f>
        <x:v>0</x:v>
      </x:c>
      <x:c r="N21" s="4" t="n">
        <x:f>IF(N$8=0,"",IF(AND(N$8=1,COUNT(N11)=1),N11,"Unavailable"))</x:f>
        <x:v>0</x:v>
      </x:c>
      <x:c r="O21" s="4" t="n">
        <x:f>IF(O$8=0,"",IF(AND(O$8=1,COUNT(O11)=1),O11,"Unavailable"))</x:f>
        <x:v>0</x:v>
      </x:c>
      <x:c r="P21" s="4" t="n">
        <x:f>IF(P$8=0,"",IF(AND(P$8=1,COUNT(P11)=1),P11,"Unavailable"))</x:f>
        <x:v>0</x:v>
      </x:c>
      <x:c r="Q21" s="4" t="str">
        <x:f>IF(Q$8=0,"",IF(AND(Q$8=1,COUNT(Q11)=1),Q11,"Unavailable"))</x:f>
      </x:c>
      <x:c r="R21" s="4" t="str">
        <x:f>IF(R$8=0,"",IF(AND(R$8=1,COUNT(R11)=1),R11,"Unavailable"))</x:f>
      </x:c>
      <x:c r="S21" s="4" t="str">
        <x:f>IF(S$8=0,"",IF(AND(S$8=1,COUNT(S11)=1),S11,"Unavailable"))</x:f>
      </x:c>
      <x:c r="T21" s="4" t="str">
        <x:f>IF(T$8=0,"",IF(AND(T$8=1,COUNT(T11)=1),T11,"Unavailable"))</x:f>
      </x:c>
      <x:c r="U21" s="4" t="str">
        <x:f>IF(U$8=0,"",IF(AND(U$8=1,COUNT(U11)=1),U11,"Unavailable"))</x:f>
      </x:c>
      <x:c r="V21" s="4" t="str">
        <x:f>IF(V$8=0,"",IF(AND(V$8=1,COUNT(V11)=1),V11,"Unavailable"))</x:f>
      </x:c>
      <x:c r="W21" s="4" t="str">
        <x:f>IF(W$8=0,"",IF(AND(W$8=1,COUNT(W11)=1),W11,"Unavailable"))</x:f>
      </x:c>
      <x:c r="X21" s="4" t="str">
        <x:f>IF(X$8=0,"",IF(AND(X$8=1,COUNT(X11)=1),X11,"Unavailable"))</x:f>
      </x:c>
      <x:c r="Y21" s="4" t="str">
        <x:f>IF(Y$8=0,"",IF(AND(Y$8=1,COUNT(Y11)=1),Y11,"Unavailable"))</x:f>
      </x:c>
      <x:c r="Z21" s="4" t="str">
        <x:f>IF(Z$8=0,"",IF(AND(Z$8=1,COUNT(Z11)=1),Z11,"Unavailable"))</x:f>
      </x:c>
      <x:c r="AA21" s="4" t="str">
        <x:f>IF(AA$8=0,"",IF(AND(AA$8=1,COUNT(AA11)=1),AA11,"Unavailable"))</x:f>
      </x:c>
      <x:c r="AB21" s="4" t="str">
        <x:f>IF(AB$8=0,"",IF(AND(AB$8=1,COUNT(AB11)=1),AB11,"Unavailable"))</x:f>
      </x:c>
    </x:row>
    <x:row r="22" ht="23" customHeight="1">
      <x:c r="A22" s="1"/>
      <x:c r="B22" s="1"/>
      <x:c r="C22" s="1" t="str">
        <x:v>Principal repayment, USD</x:v>
      </x:c>
      <x:c r="D22" s="3"/>
      <x:c r="E22" s="4" t="n">
        <x:f>IF(E$8=0,"",IF(AND(E$8=1,COUNT(E12)=1),E12,"Unavailable"))</x:f>
        <x:v>1000</x:v>
      </x:c>
      <x:c r="F22" s="4" t="n">
        <x:f>IF(F$8=0,"",IF(AND(F$8=1,COUNT(F12)=1),F12,"Unavailable"))</x:f>
        <x:v>1000</x:v>
      </x:c>
      <x:c r="G22" s="4" t="n">
        <x:f>IF(G$8=0,"",IF(AND(G$8=1,COUNT(G12)=1),G12,"Unavailable"))</x:f>
        <x:v>1000</x:v>
      </x:c>
      <x:c r="H22" s="4" t="n">
        <x:f>IF(H$8=0,"",IF(AND(H$8=1,COUNT(H12)=1),H12,"Unavailable"))</x:f>
        <x:v>1000</x:v>
      </x:c>
      <x:c r="I22" s="4" t="n">
        <x:f>IF(I$8=0,"",IF(AND(I$8=1,COUNT(I12)=1),I12,"Unavailable"))</x:f>
        <x:v>1000</x:v>
      </x:c>
      <x:c r="J22" s="4" t="n">
        <x:f>IF(J$8=0,"",IF(AND(J$8=1,COUNT(J12)=1),J12,"Unavailable"))</x:f>
        <x:v>1000</x:v>
      </x:c>
      <x:c r="K22" s="4" t="n">
        <x:f>IF(K$8=0,"",IF(AND(K$8=1,COUNT(K12)=1),K12,"Unavailable"))</x:f>
        <x:v>1000</x:v>
      </x:c>
      <x:c r="L22" s="4" t="n">
        <x:f>IF(L$8=0,"",IF(AND(L$8=1,COUNT(L12)=1),L12,"Unavailable"))</x:f>
        <x:v>1000</x:v>
      </x:c>
      <x:c r="M22" s="4" t="n">
        <x:f>IF(M$8=0,"",IF(AND(M$8=1,COUNT(M12)=1),M12,"Unavailable"))</x:f>
        <x:v>1000</x:v>
      </x:c>
      <x:c r="N22" s="4" t="n">
        <x:f>IF(N$8=0,"",IF(AND(N$8=1,COUNT(N12)=1),N12,"Unavailable"))</x:f>
        <x:v>1000</x:v>
      </x:c>
      <x:c r="O22" s="4" t="n">
        <x:f>IF(O$8=0,"",IF(AND(O$8=1,COUNT(O12)=1),O12,"Unavailable"))</x:f>
        <x:v>1000</x:v>
      </x:c>
      <x:c r="P22" s="4" t="n">
        <x:f>IF(P$8=0,"",IF(AND(P$8=1,COUNT(P12)=1),P12,"Unavailable"))</x:f>
        <x:v>1000</x:v>
      </x:c>
      <x:c r="Q22" s="4" t="str">
        <x:f>IF(Q$8=0,"",IF(AND(Q$8=1,COUNT(Q12)=1),Q12,"Unavailable"))</x:f>
      </x:c>
      <x:c r="R22" s="4" t="str">
        <x:f>IF(R$8=0,"",IF(AND(R$8=1,COUNT(R12)=1),R12,"Unavailable"))</x:f>
      </x:c>
      <x:c r="S22" s="4" t="str">
        <x:f>IF(S$8=0,"",IF(AND(S$8=1,COUNT(S12)=1),S12,"Unavailable"))</x:f>
      </x:c>
      <x:c r="T22" s="4" t="str">
        <x:f>IF(T$8=0,"",IF(AND(T$8=1,COUNT(T12)=1),T12,"Unavailable"))</x:f>
      </x:c>
      <x:c r="U22" s="4" t="str">
        <x:f>IF(U$8=0,"",IF(AND(U$8=1,COUNT(U12)=1),U12,"Unavailable"))</x:f>
      </x:c>
      <x:c r="V22" s="4" t="str">
        <x:f>IF(V$8=0,"",IF(AND(V$8=1,COUNT(V12)=1),V12,"Unavailable"))</x:f>
      </x:c>
      <x:c r="W22" s="4" t="str">
        <x:f>IF(W$8=0,"",IF(AND(W$8=1,COUNT(W12)=1),W12,"Unavailable"))</x:f>
      </x:c>
      <x:c r="X22" s="4" t="str">
        <x:f>IF(X$8=0,"",IF(AND(X$8=1,COUNT(X12)=1),X12,"Unavailable"))</x:f>
      </x:c>
      <x:c r="Y22" s="4" t="str">
        <x:f>IF(Y$8=0,"",IF(AND(Y$8=1,COUNT(Y12)=1),Y12,"Unavailable"))</x:f>
      </x:c>
      <x:c r="Z22" s="4" t="str">
        <x:f>IF(Z$8=0,"",IF(AND(Z$8=1,COUNT(Z12)=1),Z12,"Unavailable"))</x:f>
      </x:c>
      <x:c r="AA22" s="4" t="str">
        <x:f>IF(AA$8=0,"",IF(AND(AA$8=1,COUNT(AA12)=1),AA12,"Unavailable"))</x:f>
      </x:c>
      <x:c r="AB22" s="4" t="str">
        <x:f>IF(AB$8=0,"",IF(AND(AB$8=1,COUNT(AB12)=1),AB12,"Unavailable"))</x:f>
      </x:c>
    </x:row>
    <x:row r="23" ht="23" customHeight="1">
      <x:c r="A23" s="1"/>
      <x:c r="B23" s="1"/>
      <x:c r="C23" s="1" t="str">
        <x:v>Interest paid, USD</x:v>
      </x:c>
      <x:c r="D23" s="3"/>
      <x:c r="E23" s="4" t="str">
        <x:f>IF(E$8=0,"",IF(AND(E$8=1,COUNT(E13)=1),E13,"Unavailable"))</x:f>
        <x:v>Unavailable</x:v>
      </x:c>
      <x:c r="F23" s="4" t="n">
        <x:f>IF(F$8=0,"",IF(AND(F$8=1,COUNT(F13)=1),F13,"Unavailable"))</x:f>
        <x:v>110</x:v>
      </x:c>
      <x:c r="G23" s="4" t="n">
        <x:f>IF(G$8=0,"",IF(AND(G$8=1,COUNT(G13)=1),G13,"Unavailable"))</x:f>
        <x:v>100</x:v>
      </x:c>
      <x:c r="H23" s="4" t="n">
        <x:f>IF(H$8=0,"",IF(AND(H$8=1,COUNT(H13)=1),H13,"Unavailable"))</x:f>
        <x:v>90</x:v>
      </x:c>
      <x:c r="I23" s="4" t="n">
        <x:f>IF(I$8=0,"",IF(AND(I$8=1,COUNT(I13)=1),I13,"Unavailable"))</x:f>
        <x:v>80</x:v>
      </x:c>
      <x:c r="J23" s="4" t="n">
        <x:f>IF(J$8=0,"",IF(AND(J$8=1,COUNT(J13)=1),J13,"Unavailable"))</x:f>
        <x:v>70</x:v>
      </x:c>
      <x:c r="K23" s="4" t="n">
        <x:f>IF(K$8=0,"",IF(AND(K$8=1,COUNT(K13)=1),K13,"Unavailable"))</x:f>
        <x:v>60</x:v>
      </x:c>
      <x:c r="L23" s="4" t="n">
        <x:f>IF(L$8=0,"",IF(AND(L$8=1,COUNT(L13)=1),L13,"Unavailable"))</x:f>
        <x:v>50</x:v>
      </x:c>
      <x:c r="M23" s="4" t="n">
        <x:f>IF(M$8=0,"",IF(AND(M$8=1,COUNT(M13)=1),M13,"Unavailable"))</x:f>
        <x:v>40</x:v>
      </x:c>
      <x:c r="N23" s="4" t="n">
        <x:f>IF(N$8=0,"",IF(AND(N$8=1,COUNT(N13)=1),N13,"Unavailable"))</x:f>
        <x:v>30</x:v>
      </x:c>
      <x:c r="O23" s="4" t="n">
        <x:f>IF(O$8=0,"",IF(AND(O$8=1,COUNT(O13)=1),O13,"Unavailable"))</x:f>
        <x:v>20</x:v>
      </x:c>
      <x:c r="P23" s="4" t="n">
        <x:f>IF(P$8=0,"",IF(AND(P$8=1,COUNT(P13)=1),P13,"Unavailable"))</x:f>
        <x:v>10</x:v>
      </x:c>
      <x:c r="Q23" s="4" t="str">
        <x:f>IF(Q$8=0,"",IF(AND(Q$8=1,COUNT(Q13)=1),Q13,"Unavailable"))</x:f>
      </x:c>
      <x:c r="R23" s="4" t="str">
        <x:f>IF(R$8=0,"",IF(AND(R$8=1,COUNT(R13)=1),R13,"Unavailable"))</x:f>
      </x:c>
      <x:c r="S23" s="4" t="str">
        <x:f>IF(S$8=0,"",IF(AND(S$8=1,COUNT(S13)=1),S13,"Unavailable"))</x:f>
      </x:c>
      <x:c r="T23" s="4" t="str">
        <x:f>IF(T$8=0,"",IF(AND(T$8=1,COUNT(T13)=1),T13,"Unavailable"))</x:f>
      </x:c>
      <x:c r="U23" s="4" t="str">
        <x:f>IF(U$8=0,"",IF(AND(U$8=1,COUNT(U13)=1),U13,"Unavailable"))</x:f>
      </x:c>
      <x:c r="V23" s="4" t="str">
        <x:f>IF(V$8=0,"",IF(AND(V$8=1,COUNT(V13)=1),V13,"Unavailable"))</x:f>
      </x:c>
      <x:c r="W23" s="4" t="str">
        <x:f>IF(W$8=0,"",IF(AND(W$8=1,COUNT(W13)=1),W13,"Unavailable"))</x:f>
      </x:c>
      <x:c r="X23" s="4" t="str">
        <x:f>IF(X$8=0,"",IF(AND(X$8=1,COUNT(X13)=1),X13,"Unavailable"))</x:f>
      </x:c>
      <x:c r="Y23" s="4" t="str">
        <x:f>IF(Y$8=0,"",IF(AND(Y$8=1,COUNT(Y13)=1),Y13,"Unavailable"))</x:f>
      </x:c>
      <x:c r="Z23" s="4" t="str">
        <x:f>IF(Z$8=0,"",IF(AND(Z$8=1,COUNT(Z13)=1),Z13,"Unavailable"))</x:f>
      </x:c>
      <x:c r="AA23" s="4" t="str">
        <x:f>IF(AA$8=0,"",IF(AND(AA$8=1,COUNT(AA13)=1),AA13,"Unavailable"))</x:f>
      </x:c>
      <x:c r="AB23" s="4" t="str">
        <x:f>IF(AB$8=0,"",IF(AND(AB$8=1,COUNT(AB13)=1),AB13,"Unavailable"))</x:f>
      </x:c>
    </x:row>
    <x:row r="24" ht="23" customHeight="1">
      <x:c r="A24" s="1"/>
      <x:c r="B24" s="1"/>
      <x:c r="C24" s="1" t="str">
        <x:v>Net cash change, USD</x:v>
      </x:c>
      <x:c r="D24" s="3"/>
      <x:c r="E24" s="4" t="str">
        <x:f>IF(E$8=0,"",IF(AND(E$8=1,COUNT(E17,E18,E19,E20,E21,E22,E23)=7),E17-E18-E19-E20+E21-E22-E23,"Unavailable"))</x:f>
        <x:v>Unavailable</x:v>
      </x:c>
      <x:c r="F24" s="4" t="str">
        <x:f>IF(F$8=0,"",IF(AND(F$8=1,COUNT(F17,F18,F19,F20,F21,F22,F23)=7),F17-F18-F19-F20+F21-F22-F23,"Unavailable"))</x:f>
        <x:v>Unavailable</x:v>
      </x:c>
      <x:c r="G24" s="4" t="n">
        <x:f>IF(G$8=0,"",IF(AND(G$8=1,COUNT(G17,G18,G19,G20,G21,G22,G23)=7),G17-G18-G19-G20+G21-G22-G23,"Unavailable"))</x:f>
        <x:v>4050</x:v>
      </x:c>
      <x:c r="H24" s="4" t="n">
        <x:f>IF(H$8=0,"",IF(AND(H$8=1,COUNT(H17,H18,H19,H20,H21,H22,H23)=7),H17-H18-H19-H20+H21-H22-H23,"Unavailable"))</x:f>
        <x:v>4660</x:v>
      </x:c>
      <x:c r="I24" s="4" t="n">
        <x:f>IF(I$8=0,"",IF(AND(I$8=1,COUNT(I17,I18,I19,I20,I21,I22,I23)=7),I17-I18-I19-I20+I21-I22-I23,"Unavailable"))</x:f>
        <x:v>5270</x:v>
      </x:c>
      <x:c r="J24" s="4" t="n">
        <x:f>IF(J$8=0,"",IF(AND(J$8=1,COUNT(J17,J18,J19,J20,J21,J22,J23)=7),J17-J18-J19-J20+J21-J22-J23,"Unavailable"))</x:f>
        <x:v>5880</x:v>
      </x:c>
      <x:c r="K24" s="4" t="n">
        <x:f>IF(K$8=0,"",IF(AND(K$8=1,COUNT(K17,K18,K19,K20,K21,K22,K23)=7),K17-K18-K19-K20+K21-K22-K23,"Unavailable"))</x:f>
        <x:v>6490</x:v>
      </x:c>
      <x:c r="L24" s="4" t="n">
        <x:f>IF(L$8=0,"",IF(AND(L$8=1,COUNT(L17,L18,L19,L20,L21,L22,L23)=7),L17-L18-L19-L20+L21-L22-L23,"Unavailable"))</x:f>
        <x:v>7100</x:v>
      </x:c>
      <x:c r="M24" s="4" t="n">
        <x:f>IF(M$8=0,"",IF(AND(M$8=1,COUNT(M17,M18,M19,M20,M21,M22,M23)=7),M17-M18-M19-M20+M21-M22-M23,"Unavailable"))</x:f>
        <x:v>7710</x:v>
      </x:c>
      <x:c r="N24" s="4" t="n">
        <x:f>IF(N$8=0,"",IF(AND(N$8=1,COUNT(N17,N18,N19,N20,N21,N22,N23)=7),N17-N18-N19-N20+N21-N22-N23,"Unavailable"))</x:f>
        <x:v>7970</x:v>
      </x:c>
      <x:c r="O24" s="4" t="n">
        <x:f>IF(O$8=0,"",IF(AND(O$8=1,COUNT(O17,O18,O19,O20,O21,O22,O23)=7),O17-O18-O19-O20+O21-O22-O23,"Unavailable"))</x:f>
        <x:v>7980</x:v>
      </x:c>
      <x:c r="P24" s="4" t="n">
        <x:f>IF(P$8=0,"",IF(AND(P$8=1,COUNT(P17,P18,P19,P20,P21,P22,P23)=7),P17-P18-P19-P20+P21-P22-P23,"Unavailable"))</x:f>
        <x:v>7990</x:v>
      </x:c>
      <x:c r="Q24" s="4" t="str">
        <x:f>IF(Q$8=0,"",IF(AND(Q$8=1,COUNT(Q17,Q18,Q19,Q20,Q21,Q22,Q23)=7),Q17-Q18-Q19-Q20+Q21-Q22-Q23,"Unavailable"))</x:f>
      </x:c>
      <x:c r="R24" s="4" t="str">
        <x:f>IF(R$8=0,"",IF(AND(R$8=1,COUNT(R17,R18,R19,R20,R21,R22,R23)=7),R17-R18-R19-R20+R21-R22-R23,"Unavailable"))</x:f>
      </x:c>
      <x:c r="S24" s="4" t="str">
        <x:f>IF(S$8=0,"",IF(AND(S$8=1,COUNT(S17,S18,S19,S20,S21,S22,S23)=7),S17-S18-S19-S20+S21-S22-S23,"Unavailable"))</x:f>
      </x:c>
      <x:c r="T24" s="4" t="str">
        <x:f>IF(T$8=0,"",IF(AND(T$8=1,COUNT(T17,T18,T19,T20,T21,T22,T23)=7),T17-T18-T19-T20+T21-T22-T23,"Unavailable"))</x:f>
      </x:c>
      <x:c r="U24" s="4" t="str">
        <x:f>IF(U$8=0,"",IF(AND(U$8=1,COUNT(U17,U18,U19,U20,U21,U22,U23)=7),U17-U18-U19-U20+U21-U22-U23,"Unavailable"))</x:f>
      </x:c>
      <x:c r="V24" s="4" t="str">
        <x:f>IF(V$8=0,"",IF(AND(V$8=1,COUNT(V17,V18,V19,V20,V21,V22,V23)=7),V17-V18-V19-V20+V21-V22-V23,"Unavailable"))</x:f>
      </x:c>
      <x:c r="W24" s="4" t="str">
        <x:f>IF(W$8=0,"",IF(AND(W$8=1,COUNT(W17,W18,W19,W20,W21,W22,W23)=7),W17-W18-W19-W20+W21-W22-W23,"Unavailable"))</x:f>
      </x:c>
      <x:c r="X24" s="4" t="str">
        <x:f>IF(X$8=0,"",IF(AND(X$8=1,COUNT(X17,X18,X19,X20,X21,X22,X23)=7),X17-X18-X19-X20+X21-X22-X23,"Unavailable"))</x:f>
      </x:c>
      <x:c r="Y24" s="4" t="str">
        <x:f>IF(Y$8=0,"",IF(AND(Y$8=1,COUNT(Y17,Y18,Y19,Y20,Y21,Y22,Y23)=7),Y17-Y18-Y19-Y20+Y21-Y22-Y23,"Unavailable"))</x:f>
      </x:c>
      <x:c r="Z24" s="4" t="str">
        <x:f>IF(Z$8=0,"",IF(AND(Z$8=1,COUNT(Z17,Z18,Z19,Z20,Z21,Z22,Z23)=7),Z17-Z18-Z19-Z20+Z21-Z22-Z23,"Unavailable"))</x:f>
      </x:c>
      <x:c r="AA24" s="4" t="str">
        <x:f>IF(AA$8=0,"",IF(AND(AA$8=1,COUNT(AA17,AA18,AA19,AA20,AA21,AA22,AA23)=7),AA17-AA18-AA19-AA20+AA21-AA22-AA23,"Unavailable"))</x:f>
      </x:c>
      <x:c r="AB24" s="4" t="str">
        <x:f>IF(AB$8=0,"",IF(AND(AB$8=1,COUNT(AB17,AB18,AB19,AB20,AB21,AB22,AB23)=7),AB17-AB18-AB19-AB20+AB21-AB22-AB23,"Unavailable"))</x:f>
      </x:c>
    </x:row>
    <x:row r="25" ht="23" customHeight="1">
      <x:c r="A25" s="1"/>
      <x:c r="B25" s="1"/>
      <x:c r="C25" s="43" t="str">
        <x:v>Closing cash before extra funding</x:v>
      </x:c>
      <x:c r="D25" s="44"/>
      <x:c r="E25" s="65"/>
      <x:c r="F25" s="45" t="str">
        <x:f>IF(F$8=0,"",IF(AND(F$8=1,COUNT(F16,F24)=2),F16+F24,"Unavailable"))</x:f>
        <x:v>Unavailable</x:v>
      </x:c>
      <x:c r="G25" s="45" t="str">
        <x:f>IF(G$8=0,"",IF(AND(G$8=1,COUNT(G16,G24)=2),G16+G24,"Unavailable"))</x:f>
        <x:v>Unavailable</x:v>
      </x:c>
      <x:c r="H25" s="45" t="str">
        <x:f>IF(H$8=0,"",IF(AND(H$8=1,COUNT(H16,H24)=2),H16+H24,"Unavailable"))</x:f>
        <x:v>Unavailable</x:v>
      </x:c>
      <x:c r="I25" s="45" t="str">
        <x:f>IF(I$8=0,"",IF(AND(I$8=1,COUNT(I16,I24)=2),I16+I24,"Unavailable"))</x:f>
        <x:v>Unavailable</x:v>
      </x:c>
      <x:c r="J25" s="45" t="str">
        <x:f>IF(J$8=0,"",IF(AND(J$8=1,COUNT(J16,J24)=2),J16+J24,"Unavailable"))</x:f>
        <x:v>Unavailable</x:v>
      </x:c>
      <x:c r="K25" s="45" t="str">
        <x:f>IF(K$8=0,"",IF(AND(K$8=1,COUNT(K16,K24)=2),K16+K24,"Unavailable"))</x:f>
        <x:v>Unavailable</x:v>
      </x:c>
      <x:c r="L25" s="45" t="str">
        <x:f>IF(L$8=0,"",IF(AND(L$8=1,COUNT(L16,L24)=2),L16+L24,"Unavailable"))</x:f>
        <x:v>Unavailable</x:v>
      </x:c>
      <x:c r="M25" s="45" t="str">
        <x:f>IF(M$8=0,"",IF(AND(M$8=1,COUNT(M16,M24)=2),M16+M24,"Unavailable"))</x:f>
        <x:v>Unavailable</x:v>
      </x:c>
      <x:c r="N25" s="45" t="str">
        <x:f>IF(N$8=0,"",IF(AND(N$8=1,COUNT(N16,N24)=2),N16+N24,"Unavailable"))</x:f>
        <x:v>Unavailable</x:v>
      </x:c>
      <x:c r="O25" s="45" t="str">
        <x:f>IF(O$8=0,"",IF(AND(O$8=1,COUNT(O16,O24)=2),O16+O24,"Unavailable"))</x:f>
        <x:v>Unavailable</x:v>
      </x:c>
      <x:c r="P25" s="45" t="str">
        <x:f>IF(P$8=0,"",IF(AND(P$8=1,COUNT(P16,P24)=2),P16+P24,"Unavailable"))</x:f>
        <x:v>Unavailable</x:v>
      </x:c>
      <x:c r="Q25" s="45" t="str">
        <x:f>IF(Q$8=0,"",IF(AND(Q$8=1,COUNT(Q16,Q24)=2),Q16+Q24,"Unavailable"))</x:f>
      </x:c>
      <x:c r="R25" s="45" t="str">
        <x:f>IF(R$8=0,"",IF(AND(R$8=1,COUNT(R16,R24)=2),R16+R24,"Unavailable"))</x:f>
      </x:c>
      <x:c r="S25" s="45" t="str">
        <x:f>IF(S$8=0,"",IF(AND(S$8=1,COUNT(S16,S24)=2),S16+S24,"Unavailable"))</x:f>
      </x:c>
      <x:c r="T25" s="45" t="str">
        <x:f>IF(T$8=0,"",IF(AND(T$8=1,COUNT(T16,T24)=2),T16+T24,"Unavailable"))</x:f>
      </x:c>
      <x:c r="U25" s="45" t="str">
        <x:f>IF(U$8=0,"",IF(AND(U$8=1,COUNT(U16,U24)=2),U16+U24,"Unavailable"))</x:f>
      </x:c>
      <x:c r="V25" s="45" t="str">
        <x:f>IF(V$8=0,"",IF(AND(V$8=1,COUNT(V16,V24)=2),V16+V24,"Unavailable"))</x:f>
      </x:c>
      <x:c r="W25" s="45" t="str">
        <x:f>IF(W$8=0,"",IF(AND(W$8=1,COUNT(W16,W24)=2),W16+W24,"Unavailable"))</x:f>
      </x:c>
      <x:c r="X25" s="45" t="str">
        <x:f>IF(X$8=0,"",IF(AND(X$8=1,COUNT(X16,X24)=2),X16+X24,"Unavailable"))</x:f>
      </x:c>
      <x:c r="Y25" s="45" t="str">
        <x:f>IF(Y$8=0,"",IF(AND(Y$8=1,COUNT(Y16,Y24)=2),Y16+Y24,"Unavailable"))</x:f>
      </x:c>
      <x:c r="Z25" s="45" t="str">
        <x:f>IF(Z$8=0,"",IF(AND(Z$8=1,COUNT(Z16,Z24)=2),Z16+Z24,"Unavailable"))</x:f>
      </x:c>
      <x:c r="AA25" s="45" t="str">
        <x:f>IF(AA$8=0,"",IF(AND(AA$8=1,COUNT(AA16,AA24)=2),AA16+AA24,"Unavailable"))</x:f>
      </x:c>
      <x:c r="AB25" s="45" t="str">
        <x:f>IF(AB$8=0,"",IF(AND(AB$8=1,COUNT(AB16,AB24)=2),AB16+AB24,"Unavailable"))</x:f>
      </x:c>
    </x:row>
    <x:row r="26" ht="23" customHeight="1">
      <x:c r="A26" s="1"/>
      <x:c r="B26" s="1"/>
      <x:c r="C26" s="1" t="str">
        <x:v>Lowest cash to date, USD</x:v>
      </x:c>
      <x:c r="D26" s="3"/>
      <x:c r="E26" s="35" t="str">
        <x:f>IF(E$8=0,"",IF(AND(E$8=1,COUNT('Sources'!$D$6,E25)=2),MIN('Sources'!$D$6,E25),"Unavailable"))</x:f>
        <x:v>Unavailable</x:v>
      </x:c>
      <x:c r="F26" s="4" t="str">
        <x:f>IF(F$8=0,"",IF(AND(F$8=1,COUNT(E26,F25)=2),MIN(E26,F25),"Unavailable"))</x:f>
        <x:v>Unavailable</x:v>
      </x:c>
      <x:c r="G26" s="4" t="str">
        <x:f>IF(G$8=0,"",IF(AND(G$8=1,COUNT(F26,G25)=2),MIN(F26,G25),"Unavailable"))</x:f>
        <x:v>Unavailable</x:v>
      </x:c>
      <x:c r="H26" s="4" t="str">
        <x:f>IF(H$8=0,"",IF(AND(H$8=1,COUNT(G26,H25)=2),MIN(G26,H25),"Unavailable"))</x:f>
        <x:v>Unavailable</x:v>
      </x:c>
      <x:c r="I26" s="4" t="str">
        <x:f>IF(I$8=0,"",IF(AND(I$8=1,COUNT(H26,I25)=2),MIN(H26,I25),"Unavailable"))</x:f>
        <x:v>Unavailable</x:v>
      </x:c>
      <x:c r="J26" s="4" t="str">
        <x:f>IF(J$8=0,"",IF(AND(J$8=1,COUNT(I26,J25)=2),MIN(I26,J25),"Unavailable"))</x:f>
        <x:v>Unavailable</x:v>
      </x:c>
      <x:c r="K26" s="4" t="str">
        <x:f>IF(K$8=0,"",IF(AND(K$8=1,COUNT(J26,K25)=2),MIN(J26,K25),"Unavailable"))</x:f>
        <x:v>Unavailable</x:v>
      </x:c>
      <x:c r="L26" s="4" t="str">
        <x:f>IF(L$8=0,"",IF(AND(L$8=1,COUNT(K26,L25)=2),MIN(K26,L25),"Unavailable"))</x:f>
        <x:v>Unavailable</x:v>
      </x:c>
      <x:c r="M26" s="4" t="str">
        <x:f>IF(M$8=0,"",IF(AND(M$8=1,COUNT(L26,M25)=2),MIN(L26,M25),"Unavailable"))</x:f>
        <x:v>Unavailable</x:v>
      </x:c>
      <x:c r="N26" s="4" t="str">
        <x:f>IF(N$8=0,"",IF(AND(N$8=1,COUNT(M26,N25)=2),MIN(M26,N25),"Unavailable"))</x:f>
        <x:v>Unavailable</x:v>
      </x:c>
      <x:c r="O26" s="4" t="str">
        <x:f>IF(O$8=0,"",IF(AND(O$8=1,COUNT(N26,O25)=2),MIN(N26,O25),"Unavailable"))</x:f>
        <x:v>Unavailable</x:v>
      </x:c>
      <x:c r="P26" s="4" t="str">
        <x:f>IF(P$8=0,"",IF(AND(P$8=1,COUNT(O26,P25)=2),MIN(O26,P25),"Unavailable"))</x:f>
        <x:v>Unavailable</x:v>
      </x:c>
      <x:c r="Q26" s="4" t="str">
        <x:f>IF(Q$8=0,"",IF(AND(Q$8=1,COUNT(P26,Q25)=2),MIN(P26,Q25),"Unavailable"))</x:f>
      </x:c>
      <x:c r="R26" s="4" t="str">
        <x:f>IF(R$8=0,"",IF(AND(R$8=1,COUNT(Q26,R25)=2),MIN(Q26,R25),"Unavailable"))</x:f>
      </x:c>
      <x:c r="S26" s="4" t="str">
        <x:f>IF(S$8=0,"",IF(AND(S$8=1,COUNT(R26,S25)=2),MIN(R26,S25),"Unavailable"))</x:f>
      </x:c>
      <x:c r="T26" s="4" t="str">
        <x:f>IF(T$8=0,"",IF(AND(T$8=1,COUNT(S26,T25)=2),MIN(S26,T25),"Unavailable"))</x:f>
      </x:c>
      <x:c r="U26" s="4" t="str">
        <x:f>IF(U$8=0,"",IF(AND(U$8=1,COUNT(T26,U25)=2),MIN(T26,U25),"Unavailable"))</x:f>
      </x:c>
      <x:c r="V26" s="4" t="str">
        <x:f>IF(V$8=0,"",IF(AND(V$8=1,COUNT(U26,V25)=2),MIN(U26,V25),"Unavailable"))</x:f>
      </x:c>
      <x:c r="W26" s="4" t="str">
        <x:f>IF(W$8=0,"",IF(AND(W$8=1,COUNT(V26,W25)=2),MIN(V26,W25),"Unavailable"))</x:f>
      </x:c>
      <x:c r="X26" s="4" t="str">
        <x:f>IF(X$8=0,"",IF(AND(X$8=1,COUNT(W26,X25)=2),MIN(W26,X25),"Unavailable"))</x:f>
      </x:c>
      <x:c r="Y26" s="4" t="str">
        <x:f>IF(Y$8=0,"",IF(AND(Y$8=1,COUNT(X26,Y25)=2),MIN(X26,Y25),"Unavailable"))</x:f>
      </x:c>
      <x:c r="Z26" s="4" t="str">
        <x:f>IF(Z$8=0,"",IF(AND(Z$8=1,COUNT(Y26,Z25)=2),MIN(Y26,Z25),"Unavailable"))</x:f>
      </x:c>
      <x:c r="AA26" s="4" t="str">
        <x:f>IF(AA$8=0,"",IF(AND(AA$8=1,COUNT(Z26,AA25)=2),MIN(Z26,AA25),"Unavailable"))</x:f>
      </x:c>
      <x:c r="AB26" s="4" t="str">
        <x:f>IF(AB$8=0,"",IF(AND(AB$8=1,COUNT(AA26,AB25)=2),MIN(AA26,AB25),"Unavailable"))</x:f>
      </x:c>
    </x:row>
    <x:row r="27" ht="23" customHeight="1">
      <x:c r="A27" s="1"/>
      <x:c r="B27" s="1"/>
      <x:c r="C27" s="1"/>
      <x:c r="D27" s="3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  <x:c r="AA27" s="4"/>
      <x:c r="AB27" s="4"/>
    </x:row>
    <x:row r="28" ht="23" customHeight="1">
      <x:c r="A28" s="1"/>
      <x:c r="B28" s="1"/>
      <x:c r="C28" s="1"/>
      <x:c r="D28" s="3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  <x:c r="AA28" s="4"/>
      <x:c r="AB28" s="4"/>
    </x:row>
    <x:row r="29" ht="23" customHeight="1">
      <x:c r="A29" s="1"/>
      <x:c r="B29" s="1"/>
      <x:c r="C29" s="1"/>
      <x:c r="D29" s="3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  <x:c r="AA29" s="4"/>
      <x:c r="AB29" s="4"/>
    </x:row>
    <x:row r="30" ht="23" customHeight="1">
      <x:c r="A30" s="1"/>
      <x:c r="B30" s="1"/>
      <x:c r="C30" s="1"/>
      <x:c r="D30" s="3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  <x:c r="AA30" s="4"/>
      <x:c r="AB30" s="4"/>
    </x:row>
    <x:row r="31" ht="23" customHeight="1">
      <x:c r="A31" s="1"/>
      <x:c r="B31" s="1"/>
      <x:c r="C31" s="1"/>
      <x:c r="D31" s="3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  <x:c r="AA31" s="4"/>
      <x:c r="AB31" s="4"/>
    </x:row>
    <x:row r="32" ht="23" customHeight="1">
      <x:c r="A32" s="1"/>
      <x:c r="B32" s="1"/>
      <x:c r="C32" s="1"/>
      <x:c r="D32" s="3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  <x:c r="AA32" s="4"/>
      <x:c r="AB32" s="4"/>
    </x:row>
    <x:row r="33" ht="23" customHeight="1">
      <x:c r="A33" s="1"/>
      <x:c r="B33" s="1"/>
      <x:c r="C33" s="1"/>
      <x:c r="D33" s="3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  <x:c r="AA33" s="4"/>
      <x:c r="AB33" s="4"/>
    </x:row>
    <x:row r="34" ht="23" customHeight="1">
      <x:c r="A34" s="1"/>
      <x:c r="B34" s="1"/>
      <x:c r="C34" s="1"/>
      <x:c r="D34" s="3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  <x:c r="AA34" s="4"/>
      <x:c r="AB34" s="4"/>
    </x:row>
    <x:row r="35" ht="23" customHeight="1">
      <x:c r="A35" s="1"/>
      <x:c r="B35" s="1"/>
      <x:c r="C35" s="1"/>
      <x:c r="D35" s="3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  <x:c r="AA35" s="4"/>
      <x:c r="AB35" s="4"/>
    </x:row>
    <x:row r="36" ht="23" customHeight="1">
      <x:c r="A36" s="1"/>
      <x:c r="B36" s="1"/>
      <x:c r="C36" s="1"/>
      <x:c r="D36" s="3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  <x:c r="AA36" s="4"/>
      <x:c r="AB36" s="4"/>
    </x:row>
    <x:row r="37" ht="23" customHeight="1">
      <x:c r="A37" s="1"/>
      <x:c r="B37" s="1"/>
      <x:c r="C37" s="1"/>
      <x:c r="D37" s="3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  <x:c r="AA37" s="4"/>
      <x:c r="AB37" s="4"/>
    </x:row>
    <x:row r="38" ht="23" customHeight="1">
      <x:c r="A38" s="1"/>
      <x:c r="B38" s="1"/>
      <x:c r="C38" s="1"/>
      <x:c r="D38" s="3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  <x:c r="AA38" s="4"/>
      <x:c r="AB38" s="4"/>
    </x:row>
    <x:row r="39" ht="23" customHeight="1">
      <x:c r="A39" s="1"/>
      <x:c r="B39" s="1"/>
      <x:c r="C39" s="1"/>
      <x:c r="D39" s="3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  <x:c r="AA39" s="4"/>
      <x:c r="AB39" s="4"/>
    </x:row>
    <x:row r="40" ht="23" customHeight="1">
      <x:c r="A40" s="1"/>
      <x:c r="B40" s="1"/>
      <x:c r="C40" s="1"/>
      <x:c r="D40" s="3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  <x:c r="AA40" s="4"/>
      <x:c r="AB40" s="4"/>
    </x:row>
    <x:row r="41" ht="23" customHeight="1">
      <x:c r="A41" s="1"/>
      <x:c r="B41" s="1"/>
      <x:c r="C41" s="1"/>
      <x:c r="D41" s="3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  <x:c r="AA41" s="4"/>
      <x:c r="AB41" s="4"/>
    </x:row>
    <x:row r="42" ht="23" customHeight="1">
      <x:c r="A42" s="1"/>
      <x:c r="B42" s="1"/>
      <x:c r="C42" s="1"/>
      <x:c r="D42" s="3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  <x:c r="AA42" s="4"/>
      <x:c r="AB42" s="4"/>
    </x:row>
    <x:row r="43" ht="23" customHeight="1">
      <x:c r="A43" s="1"/>
      <x:c r="B43" s="1"/>
      <x:c r="C43" s="1"/>
      <x:c r="D43" s="3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  <x:c r="AA43" s="4"/>
      <x:c r="AB43" s="4"/>
    </x:row>
    <x:row r="44" ht="23" customHeight="1">
      <x:c r="A44" s="1"/>
      <x:c r="B44" s="1"/>
      <x:c r="C44" s="1"/>
      <x:c r="D44" s="3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  <x:c r="AA44" s="4"/>
      <x:c r="AB44" s="4"/>
    </x:row>
    <x:row r="45" ht="23" customHeight="1">
      <x:c r="A45" s="1"/>
      <x:c r="B45" s="1"/>
      <x:c r="C45" s="1"/>
      <x:c r="D45" s="3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  <x:c r="AA45" s="4"/>
      <x:c r="AB45" s="4"/>
    </x:row>
    <x:row r="46" ht="23" customHeight="1">
      <x:c r="A46" s="1"/>
      <x:c r="B46" s="1"/>
      <x:c r="C46" s="1"/>
      <x:c r="D46" s="3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  <x:c r="AA46" s="4"/>
      <x:c r="AB46" s="4"/>
    </x:row>
    <x:row r="47" ht="23" customHeight="1">
      <x:c r="A47" s="1"/>
      <x:c r="B47" s="1"/>
      <x:c r="C47" s="1"/>
      <x:c r="D47" s="3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  <x:c r="AA47" s="4"/>
      <x:c r="AB47" s="4"/>
    </x:row>
    <x:row r="48" ht="23" customHeight="1">
      <x:c r="A48" s="1"/>
      <x:c r="B48" s="1"/>
      <x:c r="C48" s="1"/>
      <x:c r="D48" s="3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  <x:c r="AA48" s="4"/>
      <x:c r="AB48" s="4"/>
    </x:row>
    <x:row r="49" ht="23" customHeight="1">
      <x:c r="A49" s="1"/>
      <x:c r="B49" s="1"/>
      <x:c r="C49" s="1"/>
      <x:c r="D49" s="3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</x:row>
    <x:row r="50" ht="23" customHeight="1">
      <x:c r="A50" s="1"/>
      <x:c r="B50" s="1"/>
      <x:c r="C50" s="1"/>
      <x:c r="D50" s="3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E5D4B5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6" hidden="0" customWidth="1"/>
    <x:col min="5" max="5" width="16" hidden="0" customWidth="1"/>
    <x:col min="6" max="6" width="55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</x:row>
    <x:row r="2" ht="23" customHeight="1">
      <x:c r="A2" s="1"/>
      <x:c r="B2" s="1"/>
      <x:c r="C2" s="6" t="str">
        <x:v>Sources</x:v>
      </x:c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</x:row>
    <x:row r="3" ht="23" customHeight="1">
      <x:c r="A3" s="1"/>
      <x:c r="B3" s="1"/>
      <x:c r="C3" s="1" t="str">
        <x:v>Case selected</x:v>
      </x:c>
      <x:c r="D3" s="8" t="str">
        <x:f>IF(AND(COUNT('Assumptions'!D6)=1,'Assumptions'!D6=INT('Assumptions'!D6),'Assumptions'!D6&gt;=1,'Assumptions'!D6&lt;=3),CHOOSE('Assumptions'!D6,"Base","Downside","Upside"),"Invalid case")</x:f>
        <x:v>Base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</x:row>
    <x:row r="5" ht="23" customHeight="1">
      <x:c r="A5" s="1"/>
      <x:c r="B5" s="1"/>
      <x:c r="C5" s="23" t="str">
        <x:v>Source field</x:v>
      </x:c>
      <x:c r="D5" s="23" t="str">
        <x:v>Value</x:v>
      </x:c>
      <x:c r="E5" s="23" t="str">
        <x:v>Unit</x:v>
      </x:c>
      <x:c r="F5" s="23" t="str">
        <x:v>Evidence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</x:row>
    <x:row r="6" ht="23" customHeight="1">
      <x:c r="A6" s="1"/>
      <x:c r="B6" s="1"/>
      <x:c r="C6" s="1" t="str">
        <x:v>Opening cash</x:v>
      </x:c>
      <x:c r="D6" s="18" t="n">
        <x:v>6000</x:v>
      </x:c>
      <x:c r="E6" s="4" t="str">
        <x:v>USD</x:v>
      </x:c>
      <x:c r="F6" s="4" t="str">
        <x:v>S1: fictional opening balances, 31 Dec 2026</x:v>
      </x:c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  <x:c r="AA6" s="4"/>
      <x:c r="AB6" s="4"/>
    </x:row>
    <x:row r="7" ht="23" customHeight="1">
      <x:c r="A7" s="1"/>
      <x:c r="B7" s="1"/>
      <x:c r="C7" s="1" t="str">
        <x:v>Opening debt</x:v>
      </x:c>
      <x:c r="D7" s="18" t="n">
        <x:v>0</x:v>
      </x:c>
      <x:c r="E7" s="4" t="str">
        <x:v>USD</x:v>
      </x:c>
      <x:c r="F7" s="4" t="str">
        <x:v>S1: fictional opening balances, 31 Dec 2026</x:v>
      </x:c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4"/>
      <x:c r="T7" s="4"/>
      <x:c r="U7" s="4"/>
      <x:c r="V7" s="4"/>
      <x:c r="W7" s="4"/>
      <x:c r="X7" s="4"/>
      <x:c r="Y7" s="4"/>
      <x:c r="Z7" s="4"/>
      <x:c r="AA7" s="4"/>
      <x:c r="AB7" s="4"/>
    </x:row>
    <x:row r="8" ht="23" customHeight="1">
      <x:c r="A8" s="1"/>
      <x:c r="B8" s="1"/>
      <x:c r="C8" s="1" t="str">
        <x:v>Opening receivables</x:v>
      </x:c>
      <x:c r="D8" s="18" t="n">
        <x:v>0</x:v>
      </x:c>
      <x:c r="E8" s="4" t="str">
        <x:v>USD</x:v>
      </x:c>
      <x:c r="F8" s="4" t="str">
        <x:v>S1: fictional opening balances, 31 Dec 2026</x:v>
      </x:c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  <x:c r="AA8" s="4"/>
      <x:c r="AB8" s="4"/>
    </x:row>
    <x:row r="9" ht="23" customHeight="1">
      <x:c r="A9" s="1"/>
      <x:c r="B9" s="1"/>
      <x:c r="C9" s="1" t="str">
        <x:v>Service capacity each month</x:v>
      </x:c>
      <x:c r="D9" s="18" t="n">
        <x:v>200</x:v>
      </x:c>
      <x:c r="E9" s="4" t="str">
        <x:v>services</x:v>
      </x:c>
      <x:c r="F9" s="4" t="str">
        <x:v>S2: fictional quote/capacity, 9 Oct 2026</x:v>
      </x:c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  <x:c r="Z9" s="4"/>
      <x:c r="AA9" s="4"/>
      <x:c r="AB9" s="4"/>
    </x:row>
    <x:row r="10" ht="23" customHeight="1">
      <x:c r="A10" s="1"/>
      <x:c r="B10" s="1"/>
      <x:c r="C10" s="1" t="str">
        <x:v>Equipment paid at launch</x:v>
      </x:c>
      <x:c r="D10" s="18" t="n">
        <x:v>24000</x:v>
      </x:c>
      <x:c r="E10" s="4" t="str">
        <x:v>USD</x:v>
      </x:c>
      <x:c r="F10" s="4" t="str">
        <x:v>S2: fictional quote/capacity, 9 Oct 2026</x:v>
      </x:c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  <x:c r="AA10" s="4"/>
      <x:c r="AB10" s="4"/>
    </x:row>
    <x:row r="11" ht="23" customHeight="1">
      <x:c r="A11" s="1"/>
      <x:c r="B11" s="1"/>
      <x:c r="C11" s="1"/>
      <x:c r="D11" s="3"/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  <x:c r="V11" s="4"/>
      <x:c r="W11" s="4"/>
      <x:c r="X11" s="4"/>
      <x:c r="Y11" s="4"/>
      <x:c r="Z11" s="4"/>
      <x:c r="AA11" s="4"/>
      <x:c r="AB11" s="4"/>
    </x:row>
    <x:row r="12" ht="23" customHeight="1">
      <x:c r="A12" s="1"/>
      <x:c r="B12" s="1"/>
      <x:c r="C12" s="1"/>
      <x:c r="D12" s="3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  <x:c r="AA12" s="4"/>
      <x:c r="AB12" s="4"/>
    </x:row>
    <x:row r="13" ht="23" customHeight="1">
      <x:c r="A13" s="1"/>
      <x:c r="B13" s="1"/>
      <x:c r="C13" s="1" t="str">
        <x:v>Sources are fictional teaching facts. Preserve originals in the source pack.</x:v>
      </x:c>
      <x:c r="D13" s="3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  <x:c r="V13" s="4"/>
      <x:c r="W13" s="4"/>
      <x:c r="X13" s="4"/>
      <x:c r="Y13" s="4"/>
      <x:c r="Z13" s="4"/>
      <x:c r="AA13" s="4"/>
      <x:c r="AB13" s="4"/>
    </x:row>
    <x:row r="14" ht="23" customHeight="1">
      <x:c r="A14" s="1"/>
      <x:c r="B14" s="1"/>
      <x:c r="C14" s="1"/>
      <x:c r="D14" s="3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  <x:c r="AA14" s="4"/>
      <x:c r="AB14" s="4"/>
    </x:row>
    <x:row r="15" ht="23" customHeight="1">
      <x:c r="A15" s="1"/>
      <x:c r="B15" s="1"/>
      <x:c r="C15" s="1" t="str">
        <x:v>Positive costs are subtracted. No external links, macros or data refresh.</x:v>
      </x:c>
      <x:c r="D15" s="3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  <x:c r="AA15" s="4"/>
      <x:c r="AB15" s="4"/>
    </x:row>
    <x:row r="16" ht="23" customHeight="1">
      <x:c r="A16" s="1"/>
      <x:c r="B16" s="1"/>
      <x:c r="C16" s="1"/>
      <x:c r="D16" s="3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  <x:c r="AA16" s="4"/>
      <x:c r="AB16" s="4"/>
    </x:row>
    <x:row r="17" ht="23" customHeight="1">
      <x:c r="A17" s="1"/>
      <x:c r="B17" s="1"/>
      <x:c r="C17" s="1"/>
      <x:c r="D17" s="3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  <x:c r="AA17" s="4"/>
      <x:c r="AB17" s="4"/>
    </x:row>
    <x:row r="18" ht="23" customHeight="1">
      <x:c r="A18" s="1"/>
      <x:c r="B18" s="1"/>
      <x:c r="C18" s="1"/>
      <x:c r="D18" s="3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  <x:c r="AA18" s="4"/>
      <x:c r="AB18" s="4"/>
    </x:row>
    <x:row r="19" ht="23" customHeight="1">
      <x:c r="A19" s="1"/>
      <x:c r="B19" s="1"/>
      <x:c r="C19" s="1"/>
      <x:c r="D19" s="3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  <x:c r="AA19" s="4"/>
      <x:c r="AB19" s="4"/>
    </x:row>
    <x:row r="20" ht="23" customHeight="1">
      <x:c r="A20" s="1"/>
      <x:c r="B20" s="1"/>
      <x:c r="C20" s="1"/>
      <x:c r="D20" s="3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  <x:c r="AA20" s="4"/>
      <x:c r="AB20" s="4"/>
    </x:row>
    <x:row r="21" ht="23" customHeight="1">
      <x:c r="A21" s="1"/>
      <x:c r="B21" s="1"/>
      <x:c r="C21" s="1"/>
      <x:c r="D21" s="3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  <x:c r="AA21" s="4"/>
      <x:c r="AB21" s="4"/>
    </x:row>
    <x:row r="22" ht="23" customHeight="1">
      <x:c r="A22" s="1"/>
      <x:c r="B22" s="1"/>
      <x:c r="C22" s="1"/>
      <x:c r="D22" s="3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  <x:c r="AA22" s="4"/>
      <x:c r="AB22" s="4"/>
    </x:row>
    <x:row r="23" ht="23" customHeight="1">
      <x:c r="A23" s="1"/>
      <x:c r="B23" s="1"/>
      <x:c r="C23" s="1"/>
      <x:c r="D23" s="3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  <x:c r="AA23" s="4"/>
      <x:c r="AB23" s="4"/>
    </x:row>
    <x:row r="24" ht="23" customHeight="1">
      <x:c r="A24" s="1"/>
      <x:c r="B24" s="1"/>
      <x:c r="C24" s="1"/>
      <x:c r="D24" s="3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  <x:c r="AA24" s="4"/>
      <x:c r="AB24" s="4"/>
    </x:row>
    <x:row r="25" ht="23" customHeight="1">
      <x:c r="A25" s="1"/>
      <x:c r="B25" s="1"/>
      <x:c r="C25" s="1"/>
      <x:c r="D25" s="3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  <x:c r="AA25" s="4"/>
      <x:c r="AB25" s="4"/>
    </x:row>
    <x:row r="26" ht="23" customHeight="1">
      <x:c r="A26" s="1"/>
      <x:c r="B26" s="1"/>
      <x:c r="C26" s="1"/>
      <x:c r="D26" s="3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  <x:c r="AA26" s="4"/>
      <x:c r="AB26" s="4"/>
    </x:row>
    <x:row r="27" ht="23" customHeight="1">
      <x:c r="A27" s="1"/>
      <x:c r="B27" s="1"/>
      <x:c r="C27" s="1"/>
      <x:c r="D27" s="3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  <x:c r="AA27" s="4"/>
      <x:c r="AB27" s="4"/>
    </x:row>
    <x:row r="28" ht="23" customHeight="1">
      <x:c r="A28" s="1"/>
      <x:c r="B28" s="1"/>
      <x:c r="C28" s="1"/>
      <x:c r="D28" s="3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  <x:c r="AA28" s="4"/>
      <x:c r="AB28" s="4"/>
    </x:row>
    <x:row r="29" ht="23" customHeight="1">
      <x:c r="A29" s="1"/>
      <x:c r="B29" s="1"/>
      <x:c r="C29" s="1"/>
      <x:c r="D29" s="3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  <x:c r="AA29" s="4"/>
      <x:c r="AB29" s="4"/>
    </x:row>
    <x:row r="30" ht="23" customHeight="1">
      <x:c r="A30" s="1"/>
      <x:c r="B30" s="1"/>
      <x:c r="C30" s="1"/>
      <x:c r="D30" s="3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  <x:c r="AA30" s="4"/>
      <x:c r="AB30" s="4"/>
    </x:row>
    <x:row r="31" ht="23" customHeight="1">
      <x:c r="A31" s="1"/>
      <x:c r="B31" s="1"/>
      <x:c r="C31" s="1"/>
      <x:c r="D31" s="3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  <x:c r="AA31" s="4"/>
      <x:c r="AB31" s="4"/>
    </x:row>
    <x:row r="32" ht="23" customHeight="1">
      <x:c r="A32" s="1"/>
      <x:c r="B32" s="1"/>
      <x:c r="C32" s="1"/>
      <x:c r="D32" s="3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  <x:c r="AA32" s="4"/>
      <x:c r="AB32" s="4"/>
    </x:row>
    <x:row r="33" ht="23" customHeight="1">
      <x:c r="A33" s="1"/>
      <x:c r="B33" s="1"/>
      <x:c r="C33" s="1"/>
      <x:c r="D33" s="3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  <x:c r="AA33" s="4"/>
      <x:c r="AB33" s="4"/>
    </x:row>
    <x:row r="34" ht="23" customHeight="1">
      <x:c r="A34" s="1"/>
      <x:c r="B34" s="1"/>
      <x:c r="C34" s="1"/>
      <x:c r="D34" s="3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  <x:c r="AA34" s="4"/>
      <x:c r="AB34" s="4"/>
    </x:row>
    <x:row r="35" ht="23" customHeight="1">
      <x:c r="A35" s="1"/>
      <x:c r="B35" s="1"/>
      <x:c r="C35" s="1"/>
      <x:c r="D35" s="3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  <x:c r="AA35" s="4"/>
      <x:c r="AB35" s="4"/>
    </x:row>
    <x:row r="36" ht="23" customHeight="1">
      <x:c r="A36" s="1"/>
      <x:c r="B36" s="1"/>
      <x:c r="C36" s="1"/>
      <x:c r="D36" s="3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  <x:c r="AA36" s="4"/>
      <x:c r="AB36" s="4"/>
    </x:row>
    <x:row r="37" ht="23" customHeight="1">
      <x:c r="A37" s="1"/>
      <x:c r="B37" s="1"/>
      <x:c r="C37" s="1"/>
      <x:c r="D37" s="3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  <x:c r="AA37" s="4"/>
      <x:c r="AB37" s="4"/>
    </x:row>
    <x:row r="38" ht="23" customHeight="1">
      <x:c r="A38" s="1"/>
      <x:c r="B38" s="1"/>
      <x:c r="C38" s="1"/>
      <x:c r="D38" s="3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  <x:c r="AA38" s="4"/>
      <x:c r="AB38" s="4"/>
    </x:row>
    <x:row r="39" ht="23" customHeight="1">
      <x:c r="A39" s="1"/>
      <x:c r="B39" s="1"/>
      <x:c r="C39" s="1"/>
      <x:c r="D39" s="3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  <x:c r="AA39" s="4"/>
      <x:c r="AB39" s="4"/>
    </x:row>
    <x:row r="40" ht="23" customHeight="1">
      <x:c r="A40" s="1"/>
      <x:c r="B40" s="1"/>
      <x:c r="C40" s="1"/>
      <x:c r="D40" s="3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  <x:c r="AA40" s="4"/>
      <x:c r="AB40" s="4"/>
    </x:row>
    <x:row r="41" ht="23" customHeight="1">
      <x:c r="A41" s="1"/>
      <x:c r="B41" s="1"/>
      <x:c r="C41" s="1"/>
      <x:c r="D41" s="3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  <x:c r="AA41" s="4"/>
      <x:c r="AB41" s="4"/>
    </x:row>
    <x:row r="42" ht="23" customHeight="1">
      <x:c r="A42" s="1"/>
      <x:c r="B42" s="1"/>
      <x:c r="C42" s="1"/>
      <x:c r="D42" s="3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  <x:c r="AA42" s="4"/>
      <x:c r="AB42" s="4"/>
    </x:row>
    <x:row r="43" ht="23" customHeight="1">
      <x:c r="A43" s="1"/>
      <x:c r="B43" s="1"/>
      <x:c r="C43" s="1"/>
      <x:c r="D43" s="3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  <x:c r="AA43" s="4"/>
      <x:c r="AB43" s="4"/>
    </x:row>
    <x:row r="44" ht="23" customHeight="1">
      <x:c r="A44" s="1"/>
      <x:c r="B44" s="1"/>
      <x:c r="C44" s="1"/>
      <x:c r="D44" s="3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  <x:c r="AA44" s="4"/>
      <x:c r="AB44" s="4"/>
    </x:row>
    <x:row r="45" ht="23" customHeight="1">
      <x:c r="A45" s="1"/>
      <x:c r="B45" s="1"/>
      <x:c r="C45" s="1"/>
      <x:c r="D45" s="3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  <x:c r="AA45" s="4"/>
      <x:c r="AB45" s="4"/>
    </x:row>
    <x:row r="46" ht="23" customHeight="1">
      <x:c r="A46" s="1"/>
      <x:c r="B46" s="1"/>
      <x:c r="C46" s="1"/>
      <x:c r="D46" s="3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  <x:c r="AA46" s="4"/>
      <x:c r="AB46" s="4"/>
    </x:row>
    <x:row r="47" ht="23" customHeight="1">
      <x:c r="A47" s="1"/>
      <x:c r="B47" s="1"/>
      <x:c r="C47" s="1"/>
      <x:c r="D47" s="3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  <x:c r="AA47" s="4"/>
      <x:c r="AB47" s="4"/>
    </x:row>
    <x:row r="48" ht="23" customHeight="1">
      <x:c r="A48" s="1"/>
      <x:c r="B48" s="1"/>
      <x:c r="C48" s="1"/>
      <x:c r="D48" s="3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  <x:c r="AA48" s="4"/>
      <x:c r="AB48" s="4"/>
    </x:row>
    <x:row r="49" ht="23" customHeight="1">
      <x:c r="A49" s="1"/>
      <x:c r="B49" s="1"/>
      <x:c r="C49" s="1"/>
      <x:c r="D49" s="3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</x:row>
    <x:row r="50" ht="23" customHeight="1">
      <x:c r="A50" s="1"/>
      <x:c r="B50" s="1"/>
      <x:c r="C50" s="1"/>
      <x:c r="D50" s="3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A4AEB0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</x:row>
    <x:row r="2" ht="23" customHeight="1">
      <x:c r="A2" s="1"/>
      <x:c r="B2" s="1"/>
      <x:c r="C2" s="6" t="str">
        <x:v>Review</x:v>
      </x:c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</x:row>
    <x:row r="3" ht="23" customHeight="1">
      <x:c r="A3" s="1"/>
      <x:c r="B3" s="1"/>
      <x:c r="C3" s="1" t="str">
        <x:v>Case selected</x:v>
      </x:c>
      <x:c r="D3" s="8" t="str">
        <x:f>IF(AND(COUNT('Assumptions'!D6)=1,'Assumptions'!D6=INT('Assumptions'!D6),'Assumptions'!D6&gt;=1,'Assumptions'!D6&lt;=3),CHOOSE('Assumptions'!D6,"Base","Downside","Upside"),"Invalid case")</x:f>
        <x:v>Base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</x:row>
    <x:row r="5" ht="23" customHeight="1">
      <x:c r="A5" s="1"/>
      <x:c r="B5" s="1"/>
      <x:c r="C5" s="23" t="str">
        <x:v>Review summary</x:v>
      </x:c>
      <x:c r="D5" s="23" t="str">
        <x:v>Count / difference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</x:row>
    <x:row r="6" ht="23" customHeight="1">
      <x:c r="A6" s="1"/>
      <x:c r="B6" s="1"/>
      <x:c r="C6" s="1" t="str">
        <x:v>Missing numerical checks</x:v>
      </x:c>
      <x:c r="D6" s="3" t="n">
        <x:f>COUNTIF(E10:AB17,"Missing")</x:f>
        <x:v>39</x:v>
      </x:c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  <x:c r="AA6" s="4"/>
      <x:c r="AB6" s="4"/>
    </x:row>
    <x:row r="7" ht="23" customHeight="1">
      <x:c r="A7" s="1"/>
      <x:c r="B7" s="1"/>
      <x:c r="C7" s="1" t="str">
        <x:v>Failed monthly controls</x:v>
      </x:c>
      <x:c r="D7" s="3" t="n">
        <x:f>COUNTIF(E10:AB17,"&gt;0.000001")+COUNTIF(E10:AB17,"&lt;-0.000001")</x:f>
        <x:v>0</x:v>
      </x:c>
      <x:c r="E7" s="37" t="n">
        <x:f>'Assumptions'!E18</x:f>
        <x:v>46388</x:v>
      </x:c>
      <x:c r="F7" s="37" t="n">
        <x:f>'Assumptions'!F18</x:f>
        <x:v>46419</x:v>
      </x:c>
      <x:c r="G7" s="37" t="n">
        <x:f>'Assumptions'!G18</x:f>
        <x:v>46447</x:v>
      </x:c>
      <x:c r="H7" s="37" t="n">
        <x:f>'Assumptions'!H18</x:f>
        <x:v>46478</x:v>
      </x:c>
      <x:c r="I7" s="37" t="n">
        <x:f>'Assumptions'!I18</x:f>
        <x:v>46508</x:v>
      </x:c>
      <x:c r="J7" s="37" t="n">
        <x:f>'Assumptions'!J18</x:f>
        <x:v>46539</x:v>
      </x:c>
      <x:c r="K7" s="37" t="n">
        <x:f>'Assumptions'!K18</x:f>
        <x:v>46569</x:v>
      </x:c>
      <x:c r="L7" s="37" t="n">
        <x:f>'Assumptions'!L18</x:f>
        <x:v>46600</x:v>
      </x:c>
      <x:c r="M7" s="37" t="n">
        <x:f>'Assumptions'!M18</x:f>
        <x:v>46631</x:v>
      </x:c>
      <x:c r="N7" s="37" t="n">
        <x:f>'Assumptions'!N18</x:f>
        <x:v>46661</x:v>
      </x:c>
      <x:c r="O7" s="37" t="n">
        <x:f>'Assumptions'!O18</x:f>
        <x:v>46692</x:v>
      </x:c>
      <x:c r="P7" s="37" t="n">
        <x:f>'Assumptions'!P18</x:f>
        <x:v>46722</x:v>
      </x:c>
      <x:c r="Q7" s="37" t="n">
        <x:f>'Assumptions'!Q18</x:f>
        <x:v>46753</x:v>
      </x:c>
      <x:c r="R7" s="37" t="n">
        <x:f>'Assumptions'!R18</x:f>
        <x:v>46784</x:v>
      </x:c>
      <x:c r="S7" s="37" t="n">
        <x:f>'Assumptions'!S18</x:f>
        <x:v>46813</x:v>
      </x:c>
      <x:c r="T7" s="37" t="n">
        <x:f>'Assumptions'!T18</x:f>
        <x:v>46844</x:v>
      </x:c>
      <x:c r="U7" s="37" t="n">
        <x:f>'Assumptions'!U18</x:f>
        <x:v>46874</x:v>
      </x:c>
      <x:c r="V7" s="37" t="n">
        <x:f>'Assumptions'!V18</x:f>
        <x:v>46905</x:v>
      </x:c>
      <x:c r="W7" s="37" t="n">
        <x:f>'Assumptions'!W18</x:f>
        <x:v>46935</x:v>
      </x:c>
      <x:c r="X7" s="37" t="n">
        <x:f>'Assumptions'!X18</x:f>
        <x:v>46966</x:v>
      </x:c>
      <x:c r="Y7" s="37" t="n">
        <x:f>'Assumptions'!Y18</x:f>
        <x:v>46997</x:v>
      </x:c>
      <x:c r="Z7" s="37" t="n">
        <x:f>'Assumptions'!Z18</x:f>
        <x:v>47027</x:v>
      </x:c>
      <x:c r="AA7" s="37" t="n">
        <x:f>'Assumptions'!AA18</x:f>
        <x:v>47058</x:v>
      </x:c>
      <x:c r="AB7" s="37" t="n">
        <x:f>'Assumptions'!AB18</x:f>
        <x:v>47088</x:v>
      </x:c>
    </x:row>
    <x:row r="8" ht="23" customHeight="1">
      <x:c r="A8" s="1"/>
      <x:c r="B8" s="1"/>
      <x:c r="C8" s="1" t="str">
        <x:v>Output: ending cash difference</x:v>
      </x:c>
      <x:c r="D8" s="53" t="str">
        <x:f>IF(AND(ISNUMBER('Decision'!D12),'Assumptions'!D17="Yes"),ROUND('Decision'!D12-INDEX('Funding'!E25:AB25,1,'Assumptions'!D7),8),"Missing")</x:f>
        <x:v>Missing</x:v>
      </x:c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2"/>
      <x:c r="X8" s="52"/>
      <x:c r="Y8" s="52"/>
      <x:c r="Z8" s="52"/>
      <x:c r="AA8" s="52"/>
      <x:c r="AB8" s="52"/>
    </x:row>
    <x:row r="9" ht="23" customHeight="1">
      <x:c r="A9" s="1"/>
      <x:c r="B9" s="1"/>
      <x:c r="C9" s="1" t="str">
        <x:v>Source values valid</x:v>
      </x:c>
      <x:c r="D9" s="53" t="n">
        <x:f>IF(AND(COUNT('Sources'!D6:D10)=5,MIN('Sources'!D6:D10)&gt;=0),0,"Missing")</x:f>
        <x:v>0</x:v>
      </x:c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2"/>
      <x:c r="X9" s="52"/>
      <x:c r="Y9" s="52"/>
      <x:c r="Z9" s="52"/>
      <x:c r="AA9" s="52"/>
      <x:c r="AB9" s="52"/>
    </x:row>
    <x:row r="10" ht="23" customHeight="1">
      <x:c r="A10" s="1"/>
      <x:c r="B10" s="1"/>
      <x:c r="C10" s="1" t="str">
        <x:v>Revenue less units × active price</x:v>
      </x:c>
      <x:c r="D10" s="53"/>
      <x:c r="E10" s="52" t="str">
        <x:f>IF('Assumptions'!E19=0,"n.a.",IF(AND('Assumptions'!E19=1,COUNT('Operations'!E15,'Operations'!E13,'Assumptions'!E32)=3),ROUND('Operations'!E15-'Operations'!E13*'Assumptions'!E32,8),"Missing"))</x:f>
        <x:v>Missing</x:v>
      </x:c>
      <x:c r="F10" s="52" t="n">
        <x:f>IF('Assumptions'!F19=0,"n.a.",IF(AND('Assumptions'!F19=1,COUNT('Operations'!F15,'Operations'!F13,'Assumptions'!F32)=3),ROUND('Operations'!F15-'Operations'!F13*'Assumptions'!F32,8),"Missing"))</x:f>
        <x:v>0</x:v>
      </x:c>
      <x:c r="G10" s="52" t="n">
        <x:f>IF('Assumptions'!G19=0,"n.a.",IF(AND('Assumptions'!G19=1,COUNT('Operations'!G15,'Operations'!G13,'Assumptions'!G32)=3),ROUND('Operations'!G15-'Operations'!G13*'Assumptions'!G32,8),"Missing"))</x:f>
        <x:v>0</x:v>
      </x:c>
      <x:c r="H10" s="52" t="n">
        <x:f>IF('Assumptions'!H19=0,"n.a.",IF(AND('Assumptions'!H19=1,COUNT('Operations'!H15,'Operations'!H13,'Assumptions'!H32)=3),ROUND('Operations'!H15-'Operations'!H13*'Assumptions'!H32,8),"Missing"))</x:f>
        <x:v>0</x:v>
      </x:c>
      <x:c r="I10" s="52" t="n">
        <x:f>IF('Assumptions'!I19=0,"n.a.",IF(AND('Assumptions'!I19=1,COUNT('Operations'!I15,'Operations'!I13,'Assumptions'!I32)=3),ROUND('Operations'!I15-'Operations'!I13*'Assumptions'!I32,8),"Missing"))</x:f>
        <x:v>0</x:v>
      </x:c>
      <x:c r="J10" s="52" t="n">
        <x:f>IF('Assumptions'!J19=0,"n.a.",IF(AND('Assumptions'!J19=1,COUNT('Operations'!J15,'Operations'!J13,'Assumptions'!J32)=3),ROUND('Operations'!J15-'Operations'!J13*'Assumptions'!J32,8),"Missing"))</x:f>
        <x:v>0</x:v>
      </x:c>
      <x:c r="K10" s="52" t="n">
        <x:f>IF('Assumptions'!K19=0,"n.a.",IF(AND('Assumptions'!K19=1,COUNT('Operations'!K15,'Operations'!K13,'Assumptions'!K32)=3),ROUND('Operations'!K15-'Operations'!K13*'Assumptions'!K32,8),"Missing"))</x:f>
        <x:v>0</x:v>
      </x:c>
      <x:c r="L10" s="52" t="n">
        <x:f>IF('Assumptions'!L19=0,"n.a.",IF(AND('Assumptions'!L19=1,COUNT('Operations'!L15,'Operations'!L13,'Assumptions'!L32)=3),ROUND('Operations'!L15-'Operations'!L13*'Assumptions'!L32,8),"Missing"))</x:f>
        <x:v>0</x:v>
      </x:c>
      <x:c r="M10" s="52" t="n">
        <x:f>IF('Assumptions'!M19=0,"n.a.",IF(AND('Assumptions'!M19=1,COUNT('Operations'!M15,'Operations'!M13,'Assumptions'!M32)=3),ROUND('Operations'!M15-'Operations'!M13*'Assumptions'!M32,8),"Missing"))</x:f>
        <x:v>0</x:v>
      </x:c>
      <x:c r="N10" s="52" t="n">
        <x:f>IF('Assumptions'!N19=0,"n.a.",IF(AND('Assumptions'!N19=1,COUNT('Operations'!N15,'Operations'!N13,'Assumptions'!N32)=3),ROUND('Operations'!N15-'Operations'!N13*'Assumptions'!N32,8),"Missing"))</x:f>
        <x:v>0</x:v>
      </x:c>
      <x:c r="O10" s="52" t="n">
        <x:f>IF('Assumptions'!O19=0,"n.a.",IF(AND('Assumptions'!O19=1,COUNT('Operations'!O15,'Operations'!O13,'Assumptions'!O32)=3),ROUND('Operations'!O15-'Operations'!O13*'Assumptions'!O32,8),"Missing"))</x:f>
        <x:v>0</x:v>
      </x:c>
      <x:c r="P10" s="52" t="n">
        <x:f>IF('Assumptions'!P19=0,"n.a.",IF(AND('Assumptions'!P19=1,COUNT('Operations'!P15,'Operations'!P13,'Assumptions'!P32)=3),ROUND('Operations'!P15-'Operations'!P13*'Assumptions'!P32,8),"Missing"))</x:f>
        <x:v>0</x:v>
      </x:c>
      <x:c r="Q10" s="52" t="str">
        <x:f>IF('Assumptions'!Q19=0,"n.a.",IF(AND('Assumptions'!Q19=1,COUNT('Operations'!Q15,'Operations'!Q13,'Assumptions'!Q32)=3),ROUND('Operations'!Q15-'Operations'!Q13*'Assumptions'!Q32,8),"Missing"))</x:f>
        <x:v>n.a.</x:v>
      </x:c>
      <x:c r="R10" s="52" t="str">
        <x:f>IF('Assumptions'!R19=0,"n.a.",IF(AND('Assumptions'!R19=1,COUNT('Operations'!R15,'Operations'!R13,'Assumptions'!R32)=3),ROUND('Operations'!R15-'Operations'!R13*'Assumptions'!R32,8),"Missing"))</x:f>
        <x:v>n.a.</x:v>
      </x:c>
      <x:c r="S10" s="52" t="str">
        <x:f>IF('Assumptions'!S19=0,"n.a.",IF(AND('Assumptions'!S19=1,COUNT('Operations'!S15,'Operations'!S13,'Assumptions'!S32)=3),ROUND('Operations'!S15-'Operations'!S13*'Assumptions'!S32,8),"Missing"))</x:f>
        <x:v>n.a.</x:v>
      </x:c>
      <x:c r="T10" s="52" t="str">
        <x:f>IF('Assumptions'!T19=0,"n.a.",IF(AND('Assumptions'!T19=1,COUNT('Operations'!T15,'Operations'!T13,'Assumptions'!T32)=3),ROUND('Operations'!T15-'Operations'!T13*'Assumptions'!T32,8),"Missing"))</x:f>
        <x:v>n.a.</x:v>
      </x:c>
      <x:c r="U10" s="52" t="str">
        <x:f>IF('Assumptions'!U19=0,"n.a.",IF(AND('Assumptions'!U19=1,COUNT('Operations'!U15,'Operations'!U13,'Assumptions'!U32)=3),ROUND('Operations'!U15-'Operations'!U13*'Assumptions'!U32,8),"Missing"))</x:f>
        <x:v>n.a.</x:v>
      </x:c>
      <x:c r="V10" s="52" t="str">
        <x:f>IF('Assumptions'!V19=0,"n.a.",IF(AND('Assumptions'!V19=1,COUNT('Operations'!V15,'Operations'!V13,'Assumptions'!V32)=3),ROUND('Operations'!V15-'Operations'!V13*'Assumptions'!V32,8),"Missing"))</x:f>
        <x:v>n.a.</x:v>
      </x:c>
      <x:c r="W10" s="52" t="str">
        <x:f>IF('Assumptions'!W19=0,"n.a.",IF(AND('Assumptions'!W19=1,COUNT('Operations'!W15,'Operations'!W13,'Assumptions'!W32)=3),ROUND('Operations'!W15-'Operations'!W13*'Assumptions'!W32,8),"Missing"))</x:f>
        <x:v>n.a.</x:v>
      </x:c>
      <x:c r="X10" s="52" t="str">
        <x:f>IF('Assumptions'!X19=0,"n.a.",IF(AND('Assumptions'!X19=1,COUNT('Operations'!X15,'Operations'!X13,'Assumptions'!X32)=3),ROUND('Operations'!X15-'Operations'!X13*'Assumptions'!X32,8),"Missing"))</x:f>
        <x:v>n.a.</x:v>
      </x:c>
      <x:c r="Y10" s="52" t="str">
        <x:f>IF('Assumptions'!Y19=0,"n.a.",IF(AND('Assumptions'!Y19=1,COUNT('Operations'!Y15,'Operations'!Y13,'Assumptions'!Y32)=3),ROUND('Operations'!Y15-'Operations'!Y13*'Assumptions'!Y32,8),"Missing"))</x:f>
        <x:v>n.a.</x:v>
      </x:c>
      <x:c r="Z10" s="52" t="str">
        <x:f>IF('Assumptions'!Z19=0,"n.a.",IF(AND('Assumptions'!Z19=1,COUNT('Operations'!Z15,'Operations'!Z13,'Assumptions'!Z32)=3),ROUND('Operations'!Z15-'Operations'!Z13*'Assumptions'!Z32,8),"Missing"))</x:f>
        <x:v>n.a.</x:v>
      </x:c>
      <x:c r="AA10" s="52" t="str">
        <x:f>IF('Assumptions'!AA19=0,"n.a.",IF(AND('Assumptions'!AA19=1,COUNT('Operations'!AA15,'Operations'!AA13,'Assumptions'!AA32)=3),ROUND('Operations'!AA15-'Operations'!AA13*'Assumptions'!AA32,8),"Missing"))</x:f>
        <x:v>n.a.</x:v>
      </x:c>
      <x:c r="AB10" s="52" t="str">
        <x:f>IF('Assumptions'!AB19=0,"n.a.",IF(AND('Assumptions'!AB19=1,COUNT('Operations'!AB15,'Operations'!AB13,'Assumptions'!AB32)=3),ROUND('Operations'!AB15-'Operations'!AB13*'Assumptions'!AB32,8),"Missing"))</x:f>
        <x:v>n.a.</x:v>
      </x:c>
    </x:row>
    <x:row r="11" ht="23" customHeight="1">
      <x:c r="A11" s="1"/>
      <x:c r="B11" s="1"/>
      <x:c r="C11" s="1" t="str">
        <x:v>Receivables roll-forward</x:v>
      </x:c>
      <x:c r="D11" s="53"/>
      <x:c r="E11" s="52" t="str">
        <x:f>IF('Assumptions'!E19=0,"n.a.",IF(AND('Assumptions'!E19=1,COUNT('Collections'!E10,'Collections'!E11,'Collections'!E13,'Collections'!E14)=4),ROUND('Collections'!E10+'Collections'!E11-'Collections'!E13-'Collections'!E14,8),"Missing"))</x:f>
        <x:v>Missing</x:v>
      </x:c>
      <x:c r="F11" s="52" t="str">
        <x:f>IF('Assumptions'!F19=0,"n.a.",IF(AND('Assumptions'!F19=1,COUNT('Collections'!F10,'Collections'!F11,'Collections'!F13,'Collections'!F14)=4),ROUND('Collections'!F10+'Collections'!F11-'Collections'!F13-'Collections'!F14,8),"Missing"))</x:f>
        <x:v>Missing</x:v>
      </x:c>
      <x:c r="G11" s="52" t="n">
        <x:f>IF('Assumptions'!G19=0,"n.a.",IF(AND('Assumptions'!G19=1,COUNT('Collections'!G10,'Collections'!G11,'Collections'!G13,'Collections'!G14)=4),ROUND('Collections'!G10+'Collections'!G11-'Collections'!G13-'Collections'!G14,8),"Missing"))</x:f>
        <x:v>0</x:v>
      </x:c>
      <x:c r="H11" s="52" t="n">
        <x:f>IF('Assumptions'!H19=0,"n.a.",IF(AND('Assumptions'!H19=1,COUNT('Collections'!H10,'Collections'!H11,'Collections'!H13,'Collections'!H14)=4),ROUND('Collections'!H10+'Collections'!H11-'Collections'!H13-'Collections'!H14,8),"Missing"))</x:f>
        <x:v>0</x:v>
      </x:c>
      <x:c r="I11" s="52" t="n">
        <x:f>IF('Assumptions'!I19=0,"n.a.",IF(AND('Assumptions'!I19=1,COUNT('Collections'!I10,'Collections'!I11,'Collections'!I13,'Collections'!I14)=4),ROUND('Collections'!I10+'Collections'!I11-'Collections'!I13-'Collections'!I14,8),"Missing"))</x:f>
        <x:v>0</x:v>
      </x:c>
      <x:c r="J11" s="52" t="n">
        <x:f>IF('Assumptions'!J19=0,"n.a.",IF(AND('Assumptions'!J19=1,COUNT('Collections'!J10,'Collections'!J11,'Collections'!J13,'Collections'!J14)=4),ROUND('Collections'!J10+'Collections'!J11-'Collections'!J13-'Collections'!J14,8),"Missing"))</x:f>
        <x:v>0</x:v>
      </x:c>
      <x:c r="K11" s="52" t="n">
        <x:f>IF('Assumptions'!K19=0,"n.a.",IF(AND('Assumptions'!K19=1,COUNT('Collections'!K10,'Collections'!K11,'Collections'!K13,'Collections'!K14)=4),ROUND('Collections'!K10+'Collections'!K11-'Collections'!K13-'Collections'!K14,8),"Missing"))</x:f>
        <x:v>0</x:v>
      </x:c>
      <x:c r="L11" s="52" t="n">
        <x:f>IF('Assumptions'!L19=0,"n.a.",IF(AND('Assumptions'!L19=1,COUNT('Collections'!L10,'Collections'!L11,'Collections'!L13,'Collections'!L14)=4),ROUND('Collections'!L10+'Collections'!L11-'Collections'!L13-'Collections'!L14,8),"Missing"))</x:f>
        <x:v>0</x:v>
      </x:c>
      <x:c r="M11" s="52" t="n">
        <x:f>IF('Assumptions'!M19=0,"n.a.",IF(AND('Assumptions'!M19=1,COUNT('Collections'!M10,'Collections'!M11,'Collections'!M13,'Collections'!M14)=4),ROUND('Collections'!M10+'Collections'!M11-'Collections'!M13-'Collections'!M14,8),"Missing"))</x:f>
        <x:v>0</x:v>
      </x:c>
      <x:c r="N11" s="52" t="n">
        <x:f>IF('Assumptions'!N19=0,"n.a.",IF(AND('Assumptions'!N19=1,COUNT('Collections'!N10,'Collections'!N11,'Collections'!N13,'Collections'!N14)=4),ROUND('Collections'!N10+'Collections'!N11-'Collections'!N13-'Collections'!N14,8),"Missing"))</x:f>
        <x:v>0</x:v>
      </x:c>
      <x:c r="O11" s="52" t="n">
        <x:f>IF('Assumptions'!O19=0,"n.a.",IF(AND('Assumptions'!O19=1,COUNT('Collections'!O10,'Collections'!O11,'Collections'!O13,'Collections'!O14)=4),ROUND('Collections'!O10+'Collections'!O11-'Collections'!O13-'Collections'!O14,8),"Missing"))</x:f>
        <x:v>0</x:v>
      </x:c>
      <x:c r="P11" s="52" t="n">
        <x:f>IF('Assumptions'!P19=0,"n.a.",IF(AND('Assumptions'!P19=1,COUNT('Collections'!P10,'Collections'!P11,'Collections'!P13,'Collections'!P14)=4),ROUND('Collections'!P10+'Collections'!P11-'Collections'!P13-'Collections'!P14,8),"Missing"))</x:f>
        <x:v>0</x:v>
      </x:c>
      <x:c r="Q11" s="52" t="str">
        <x:f>IF('Assumptions'!Q19=0,"n.a.",IF(AND('Assumptions'!Q19=1,COUNT('Collections'!Q10,'Collections'!Q11,'Collections'!Q13,'Collections'!Q14)=4),ROUND('Collections'!Q10+'Collections'!Q11-'Collections'!Q13-'Collections'!Q14,8),"Missing"))</x:f>
        <x:v>n.a.</x:v>
      </x:c>
      <x:c r="R11" s="52" t="str">
        <x:f>IF('Assumptions'!R19=0,"n.a.",IF(AND('Assumptions'!R19=1,COUNT('Collections'!R10,'Collections'!R11,'Collections'!R13,'Collections'!R14)=4),ROUND('Collections'!R10+'Collections'!R11-'Collections'!R13-'Collections'!R14,8),"Missing"))</x:f>
        <x:v>n.a.</x:v>
      </x:c>
      <x:c r="S11" s="52" t="str">
        <x:f>IF('Assumptions'!S19=0,"n.a.",IF(AND('Assumptions'!S19=1,COUNT('Collections'!S10,'Collections'!S11,'Collections'!S13,'Collections'!S14)=4),ROUND('Collections'!S10+'Collections'!S11-'Collections'!S13-'Collections'!S14,8),"Missing"))</x:f>
        <x:v>n.a.</x:v>
      </x:c>
      <x:c r="T11" s="52" t="str">
        <x:f>IF('Assumptions'!T19=0,"n.a.",IF(AND('Assumptions'!T19=1,COUNT('Collections'!T10,'Collections'!T11,'Collections'!T13,'Collections'!T14)=4),ROUND('Collections'!T10+'Collections'!T11-'Collections'!T13-'Collections'!T14,8),"Missing"))</x:f>
        <x:v>n.a.</x:v>
      </x:c>
      <x:c r="U11" s="52" t="str">
        <x:f>IF('Assumptions'!U19=0,"n.a.",IF(AND('Assumptions'!U19=1,COUNT('Collections'!U10,'Collections'!U11,'Collections'!U13,'Collections'!U14)=4),ROUND('Collections'!U10+'Collections'!U11-'Collections'!U13-'Collections'!U14,8),"Missing"))</x:f>
        <x:v>n.a.</x:v>
      </x:c>
      <x:c r="V11" s="52" t="str">
        <x:f>IF('Assumptions'!V19=0,"n.a.",IF(AND('Assumptions'!V19=1,COUNT('Collections'!V10,'Collections'!V11,'Collections'!V13,'Collections'!V14)=4),ROUND('Collections'!V10+'Collections'!V11-'Collections'!V13-'Collections'!V14,8),"Missing"))</x:f>
        <x:v>n.a.</x:v>
      </x:c>
      <x:c r="W11" s="52" t="str">
        <x:f>IF('Assumptions'!W19=0,"n.a.",IF(AND('Assumptions'!W19=1,COUNT('Collections'!W10,'Collections'!W11,'Collections'!W13,'Collections'!W14)=4),ROUND('Collections'!W10+'Collections'!W11-'Collections'!W13-'Collections'!W14,8),"Missing"))</x:f>
        <x:v>n.a.</x:v>
      </x:c>
      <x:c r="X11" s="52" t="str">
        <x:f>IF('Assumptions'!X19=0,"n.a.",IF(AND('Assumptions'!X19=1,COUNT('Collections'!X10,'Collections'!X11,'Collections'!X13,'Collections'!X14)=4),ROUND('Collections'!X10+'Collections'!X11-'Collections'!X13-'Collections'!X14,8),"Missing"))</x:f>
        <x:v>n.a.</x:v>
      </x:c>
      <x:c r="Y11" s="52" t="str">
        <x:f>IF('Assumptions'!Y19=0,"n.a.",IF(AND('Assumptions'!Y19=1,COUNT('Collections'!Y10,'Collections'!Y11,'Collections'!Y13,'Collections'!Y14)=4),ROUND('Collections'!Y10+'Collections'!Y11-'Collections'!Y13-'Collections'!Y14,8),"Missing"))</x:f>
        <x:v>n.a.</x:v>
      </x:c>
      <x:c r="Z11" s="52" t="str">
        <x:f>IF('Assumptions'!Z19=0,"n.a.",IF(AND('Assumptions'!Z19=1,COUNT('Collections'!Z10,'Collections'!Z11,'Collections'!Z13,'Collections'!Z14)=4),ROUND('Collections'!Z10+'Collections'!Z11-'Collections'!Z13-'Collections'!Z14,8),"Missing"))</x:f>
        <x:v>n.a.</x:v>
      </x:c>
      <x:c r="AA11" s="52" t="str">
        <x:f>IF('Assumptions'!AA19=0,"n.a.",IF(AND('Assumptions'!AA19=1,COUNT('Collections'!AA10,'Collections'!AA11,'Collections'!AA13,'Collections'!AA14)=4),ROUND('Collections'!AA10+'Collections'!AA11-'Collections'!AA13-'Collections'!AA14,8),"Missing"))</x:f>
        <x:v>n.a.</x:v>
      </x:c>
      <x:c r="AB11" s="52" t="str">
        <x:f>IF('Assumptions'!AB19=0,"n.a.",IF(AND('Assumptions'!AB19=1,COUNT('Collections'!AB10,'Collections'!AB11,'Collections'!AB13,'Collections'!AB14)=4),ROUND('Collections'!AB10+'Collections'!AB11-'Collections'!AB13-'Collections'!AB14,8),"Missing"))</x:f>
        <x:v>n.a.</x:v>
      </x:c>
    </x:row>
    <x:row r="12" ht="23" customHeight="1">
      <x:c r="A12" s="1"/>
      <x:c r="B12" s="1"/>
      <x:c r="C12" s="1" t="str">
        <x:v>Debt roll-forward</x:v>
      </x:c>
      <x:c r="D12" s="53"/>
      <x:c r="E12" s="52" t="n">
        <x:f>IF('Assumptions'!E19=0,"n.a.",IF(AND('Assumptions'!E19=1,COUNT('Funding'!E10,'Funding'!E11,'Funding'!E12,'Funding'!E14)=4),ROUND('Funding'!E10+'Funding'!E11-'Funding'!E12-'Funding'!E14,8),"Missing"))</x:f>
        <x:v>0</x:v>
      </x:c>
      <x:c r="F12" s="52" t="n">
        <x:f>IF('Assumptions'!F19=0,"n.a.",IF(AND('Assumptions'!F19=1,COUNT('Funding'!F10,'Funding'!F11,'Funding'!F12,'Funding'!F14)=4),ROUND('Funding'!F10+'Funding'!F11-'Funding'!F12-'Funding'!F14,8),"Missing"))</x:f>
        <x:v>0</x:v>
      </x:c>
      <x:c r="G12" s="52" t="n">
        <x:f>IF('Assumptions'!G19=0,"n.a.",IF(AND('Assumptions'!G19=1,COUNT('Funding'!G10,'Funding'!G11,'Funding'!G12,'Funding'!G14)=4),ROUND('Funding'!G10+'Funding'!G11-'Funding'!G12-'Funding'!G14,8),"Missing"))</x:f>
        <x:v>0</x:v>
      </x:c>
      <x:c r="H12" s="52" t="n">
        <x:f>IF('Assumptions'!H19=0,"n.a.",IF(AND('Assumptions'!H19=1,COUNT('Funding'!H10,'Funding'!H11,'Funding'!H12,'Funding'!H14)=4),ROUND('Funding'!H10+'Funding'!H11-'Funding'!H12-'Funding'!H14,8),"Missing"))</x:f>
        <x:v>0</x:v>
      </x:c>
      <x:c r="I12" s="52" t="n">
        <x:f>IF('Assumptions'!I19=0,"n.a.",IF(AND('Assumptions'!I19=1,COUNT('Funding'!I10,'Funding'!I11,'Funding'!I12,'Funding'!I14)=4),ROUND('Funding'!I10+'Funding'!I11-'Funding'!I12-'Funding'!I14,8),"Missing"))</x:f>
        <x:v>0</x:v>
      </x:c>
      <x:c r="J12" s="52" t="n">
        <x:f>IF('Assumptions'!J19=0,"n.a.",IF(AND('Assumptions'!J19=1,COUNT('Funding'!J10,'Funding'!J11,'Funding'!J12,'Funding'!J14)=4),ROUND('Funding'!J10+'Funding'!J11-'Funding'!J12-'Funding'!J14,8),"Missing"))</x:f>
        <x:v>0</x:v>
      </x:c>
      <x:c r="K12" s="52" t="n">
        <x:f>IF('Assumptions'!K19=0,"n.a.",IF(AND('Assumptions'!K19=1,COUNT('Funding'!K10,'Funding'!K11,'Funding'!K12,'Funding'!K14)=4),ROUND('Funding'!K10+'Funding'!K11-'Funding'!K12-'Funding'!K14,8),"Missing"))</x:f>
        <x:v>0</x:v>
      </x:c>
      <x:c r="L12" s="52" t="n">
        <x:f>IF('Assumptions'!L19=0,"n.a.",IF(AND('Assumptions'!L19=1,COUNT('Funding'!L10,'Funding'!L11,'Funding'!L12,'Funding'!L14)=4),ROUND('Funding'!L10+'Funding'!L11-'Funding'!L12-'Funding'!L14,8),"Missing"))</x:f>
        <x:v>0</x:v>
      </x:c>
      <x:c r="M12" s="52" t="n">
        <x:f>IF('Assumptions'!M19=0,"n.a.",IF(AND('Assumptions'!M19=1,COUNT('Funding'!M10,'Funding'!M11,'Funding'!M12,'Funding'!M14)=4),ROUND('Funding'!M10+'Funding'!M11-'Funding'!M12-'Funding'!M14,8),"Missing"))</x:f>
        <x:v>0</x:v>
      </x:c>
      <x:c r="N12" s="52" t="n">
        <x:f>IF('Assumptions'!N19=0,"n.a.",IF(AND('Assumptions'!N19=1,COUNT('Funding'!N10,'Funding'!N11,'Funding'!N12,'Funding'!N14)=4),ROUND('Funding'!N10+'Funding'!N11-'Funding'!N12-'Funding'!N14,8),"Missing"))</x:f>
        <x:v>0</x:v>
      </x:c>
      <x:c r="O12" s="52" t="n">
        <x:f>IF('Assumptions'!O19=0,"n.a.",IF(AND('Assumptions'!O19=1,COUNT('Funding'!O10,'Funding'!O11,'Funding'!O12,'Funding'!O14)=4),ROUND('Funding'!O10+'Funding'!O11-'Funding'!O12-'Funding'!O14,8),"Missing"))</x:f>
        <x:v>0</x:v>
      </x:c>
      <x:c r="P12" s="52" t="n">
        <x:f>IF('Assumptions'!P19=0,"n.a.",IF(AND('Assumptions'!P19=1,COUNT('Funding'!P10,'Funding'!P11,'Funding'!P12,'Funding'!P14)=4),ROUND('Funding'!P10+'Funding'!P11-'Funding'!P12-'Funding'!P14,8),"Missing"))</x:f>
        <x:v>0</x:v>
      </x:c>
      <x:c r="Q12" s="52" t="str">
        <x:f>IF('Assumptions'!Q19=0,"n.a.",IF(AND('Assumptions'!Q19=1,COUNT('Funding'!Q10,'Funding'!Q11,'Funding'!Q12,'Funding'!Q14)=4),ROUND('Funding'!Q10+'Funding'!Q11-'Funding'!Q12-'Funding'!Q14,8),"Missing"))</x:f>
        <x:v>n.a.</x:v>
      </x:c>
      <x:c r="R12" s="52" t="str">
        <x:f>IF('Assumptions'!R19=0,"n.a.",IF(AND('Assumptions'!R19=1,COUNT('Funding'!R10,'Funding'!R11,'Funding'!R12,'Funding'!R14)=4),ROUND('Funding'!R10+'Funding'!R11-'Funding'!R12-'Funding'!R14,8),"Missing"))</x:f>
        <x:v>n.a.</x:v>
      </x:c>
      <x:c r="S12" s="52" t="str">
        <x:f>IF('Assumptions'!S19=0,"n.a.",IF(AND('Assumptions'!S19=1,COUNT('Funding'!S10,'Funding'!S11,'Funding'!S12,'Funding'!S14)=4),ROUND('Funding'!S10+'Funding'!S11-'Funding'!S12-'Funding'!S14,8),"Missing"))</x:f>
        <x:v>n.a.</x:v>
      </x:c>
      <x:c r="T12" s="52" t="str">
        <x:f>IF('Assumptions'!T19=0,"n.a.",IF(AND('Assumptions'!T19=1,COUNT('Funding'!T10,'Funding'!T11,'Funding'!T12,'Funding'!T14)=4),ROUND('Funding'!T10+'Funding'!T11-'Funding'!T12-'Funding'!T14,8),"Missing"))</x:f>
        <x:v>n.a.</x:v>
      </x:c>
      <x:c r="U12" s="52" t="str">
        <x:f>IF('Assumptions'!U19=0,"n.a.",IF(AND('Assumptions'!U19=1,COUNT('Funding'!U10,'Funding'!U11,'Funding'!U12,'Funding'!U14)=4),ROUND('Funding'!U10+'Funding'!U11-'Funding'!U12-'Funding'!U14,8),"Missing"))</x:f>
        <x:v>n.a.</x:v>
      </x:c>
      <x:c r="V12" s="52" t="str">
        <x:f>IF('Assumptions'!V19=0,"n.a.",IF(AND('Assumptions'!V19=1,COUNT('Funding'!V10,'Funding'!V11,'Funding'!V12,'Funding'!V14)=4),ROUND('Funding'!V10+'Funding'!V11-'Funding'!V12-'Funding'!V14,8),"Missing"))</x:f>
        <x:v>n.a.</x:v>
      </x:c>
      <x:c r="W12" s="52" t="str">
        <x:f>IF('Assumptions'!W19=0,"n.a.",IF(AND('Assumptions'!W19=1,COUNT('Funding'!W10,'Funding'!W11,'Funding'!W12,'Funding'!W14)=4),ROUND('Funding'!W10+'Funding'!W11-'Funding'!W12-'Funding'!W14,8),"Missing"))</x:f>
        <x:v>n.a.</x:v>
      </x:c>
      <x:c r="X12" s="52" t="str">
        <x:f>IF('Assumptions'!X19=0,"n.a.",IF(AND('Assumptions'!X19=1,COUNT('Funding'!X10,'Funding'!X11,'Funding'!X12,'Funding'!X14)=4),ROUND('Funding'!X10+'Funding'!X11-'Funding'!X12-'Funding'!X14,8),"Missing"))</x:f>
        <x:v>n.a.</x:v>
      </x:c>
      <x:c r="Y12" s="52" t="str">
        <x:f>IF('Assumptions'!Y19=0,"n.a.",IF(AND('Assumptions'!Y19=1,COUNT('Funding'!Y10,'Funding'!Y11,'Funding'!Y12,'Funding'!Y14)=4),ROUND('Funding'!Y10+'Funding'!Y11-'Funding'!Y12-'Funding'!Y14,8),"Missing"))</x:f>
        <x:v>n.a.</x:v>
      </x:c>
      <x:c r="Z12" s="52" t="str">
        <x:f>IF('Assumptions'!Z19=0,"n.a.",IF(AND('Assumptions'!Z19=1,COUNT('Funding'!Z10,'Funding'!Z11,'Funding'!Z12,'Funding'!Z14)=4),ROUND('Funding'!Z10+'Funding'!Z11-'Funding'!Z12-'Funding'!Z14,8),"Missing"))</x:f>
        <x:v>n.a.</x:v>
      </x:c>
      <x:c r="AA12" s="52" t="str">
        <x:f>IF('Assumptions'!AA19=0,"n.a.",IF(AND('Assumptions'!AA19=1,COUNT('Funding'!AA10,'Funding'!AA11,'Funding'!AA12,'Funding'!AA14)=4),ROUND('Funding'!AA10+'Funding'!AA11-'Funding'!AA12-'Funding'!AA14,8),"Missing"))</x:f>
        <x:v>n.a.</x:v>
      </x:c>
      <x:c r="AB12" s="52" t="str">
        <x:f>IF('Assumptions'!AB19=0,"n.a.",IF(AND('Assumptions'!AB19=1,COUNT('Funding'!AB10,'Funding'!AB11,'Funding'!AB12,'Funding'!AB14)=4),ROUND('Funding'!AB10+'Funding'!AB11-'Funding'!AB12-'Funding'!AB14,8),"Missing"))</x:f>
        <x:v>n.a.</x:v>
      </x:c>
    </x:row>
    <x:row r="13" ht="23" customHeight="1">
      <x:c r="A13" s="1"/>
      <x:c r="B13" s="1"/>
      <x:c r="C13" s="1" t="str">
        <x:v>Interest timing</x:v>
      </x:c>
      <x:c r="D13" s="53"/>
      <x:c r="E13" s="52" t="str">
        <x:f>IF('Assumptions'!E19=0,"n.a.",IF(AND('Assumptions'!E19=1,COUNT('Funding'!E13,'Funding'!E10,'Funding'!E11)=3),ROUND('Funding'!E13-('Funding'!E10+'Funding'!E11)*'Assumptions'!$D$12/'Assumptions'!$D$14,8),"Missing"))</x:f>
        <x:v>Missing</x:v>
      </x:c>
      <x:c r="F13" s="52" t="n">
        <x:f>IF('Assumptions'!F19=0,"n.a.",IF(AND('Assumptions'!F19=1,COUNT('Funding'!F13,'Funding'!F10,'Funding'!F11)=3),ROUND('Funding'!F13-('Funding'!F10+'Funding'!F11)*'Assumptions'!$D$12/'Assumptions'!$D$14,8),"Missing"))</x:f>
        <x:v>0</x:v>
      </x:c>
      <x:c r="G13" s="52" t="n">
        <x:f>IF('Assumptions'!G19=0,"n.a.",IF(AND('Assumptions'!G19=1,COUNT('Funding'!G13,'Funding'!G10,'Funding'!G11)=3),ROUND('Funding'!G13-('Funding'!G10+'Funding'!G11)*'Assumptions'!$D$12/'Assumptions'!$D$14,8),"Missing"))</x:f>
        <x:v>0</x:v>
      </x:c>
      <x:c r="H13" s="52" t="n">
        <x:f>IF('Assumptions'!H19=0,"n.a.",IF(AND('Assumptions'!H19=1,COUNT('Funding'!H13,'Funding'!H10,'Funding'!H11)=3),ROUND('Funding'!H13-('Funding'!H10+'Funding'!H11)*'Assumptions'!$D$12/'Assumptions'!$D$14,8),"Missing"))</x:f>
        <x:v>0</x:v>
      </x:c>
      <x:c r="I13" s="52" t="n">
        <x:f>IF('Assumptions'!I19=0,"n.a.",IF(AND('Assumptions'!I19=1,COUNT('Funding'!I13,'Funding'!I10,'Funding'!I11)=3),ROUND('Funding'!I13-('Funding'!I10+'Funding'!I11)*'Assumptions'!$D$12/'Assumptions'!$D$14,8),"Missing"))</x:f>
        <x:v>0</x:v>
      </x:c>
      <x:c r="J13" s="52" t="n">
        <x:f>IF('Assumptions'!J19=0,"n.a.",IF(AND('Assumptions'!J19=1,COUNT('Funding'!J13,'Funding'!J10,'Funding'!J11)=3),ROUND('Funding'!J13-('Funding'!J10+'Funding'!J11)*'Assumptions'!$D$12/'Assumptions'!$D$14,8),"Missing"))</x:f>
        <x:v>0</x:v>
      </x:c>
      <x:c r="K13" s="52" t="n">
        <x:f>IF('Assumptions'!K19=0,"n.a.",IF(AND('Assumptions'!K19=1,COUNT('Funding'!K13,'Funding'!K10,'Funding'!K11)=3),ROUND('Funding'!K13-('Funding'!K10+'Funding'!K11)*'Assumptions'!$D$12/'Assumptions'!$D$14,8),"Missing"))</x:f>
        <x:v>0</x:v>
      </x:c>
      <x:c r="L13" s="52" t="n">
        <x:f>IF('Assumptions'!L19=0,"n.a.",IF(AND('Assumptions'!L19=1,COUNT('Funding'!L13,'Funding'!L10,'Funding'!L11)=3),ROUND('Funding'!L13-('Funding'!L10+'Funding'!L11)*'Assumptions'!$D$12/'Assumptions'!$D$14,8),"Missing"))</x:f>
        <x:v>0</x:v>
      </x:c>
      <x:c r="M13" s="52" t="n">
        <x:f>IF('Assumptions'!M19=0,"n.a.",IF(AND('Assumptions'!M19=1,COUNT('Funding'!M13,'Funding'!M10,'Funding'!M11)=3),ROUND('Funding'!M13-('Funding'!M10+'Funding'!M11)*'Assumptions'!$D$12/'Assumptions'!$D$14,8),"Missing"))</x:f>
        <x:v>0</x:v>
      </x:c>
      <x:c r="N13" s="52" t="n">
        <x:f>IF('Assumptions'!N19=0,"n.a.",IF(AND('Assumptions'!N19=1,COUNT('Funding'!N13,'Funding'!N10,'Funding'!N11)=3),ROUND('Funding'!N13-('Funding'!N10+'Funding'!N11)*'Assumptions'!$D$12/'Assumptions'!$D$14,8),"Missing"))</x:f>
        <x:v>0</x:v>
      </x:c>
      <x:c r="O13" s="52" t="n">
        <x:f>IF('Assumptions'!O19=0,"n.a.",IF(AND('Assumptions'!O19=1,COUNT('Funding'!O13,'Funding'!O10,'Funding'!O11)=3),ROUND('Funding'!O13-('Funding'!O10+'Funding'!O11)*'Assumptions'!$D$12/'Assumptions'!$D$14,8),"Missing"))</x:f>
        <x:v>0</x:v>
      </x:c>
      <x:c r="P13" s="52" t="n">
        <x:f>IF('Assumptions'!P19=0,"n.a.",IF(AND('Assumptions'!P19=1,COUNT('Funding'!P13,'Funding'!P10,'Funding'!P11)=3),ROUND('Funding'!P13-('Funding'!P10+'Funding'!P11)*'Assumptions'!$D$12/'Assumptions'!$D$14,8),"Missing"))</x:f>
        <x:v>0</x:v>
      </x:c>
      <x:c r="Q13" s="52" t="str">
        <x:f>IF('Assumptions'!Q19=0,"n.a.",IF(AND('Assumptions'!Q19=1,COUNT('Funding'!Q13,'Funding'!Q10,'Funding'!Q11)=3),ROUND('Funding'!Q13-('Funding'!Q10+'Funding'!Q11)*'Assumptions'!$D$12/'Assumptions'!$D$14,8),"Missing"))</x:f>
        <x:v>n.a.</x:v>
      </x:c>
      <x:c r="R13" s="52" t="str">
        <x:f>IF('Assumptions'!R19=0,"n.a.",IF(AND('Assumptions'!R19=1,COUNT('Funding'!R13,'Funding'!R10,'Funding'!R11)=3),ROUND('Funding'!R13-('Funding'!R10+'Funding'!R11)*'Assumptions'!$D$12/'Assumptions'!$D$14,8),"Missing"))</x:f>
        <x:v>n.a.</x:v>
      </x:c>
      <x:c r="S13" s="52" t="str">
        <x:f>IF('Assumptions'!S19=0,"n.a.",IF(AND('Assumptions'!S19=1,COUNT('Funding'!S13,'Funding'!S10,'Funding'!S11)=3),ROUND('Funding'!S13-('Funding'!S10+'Funding'!S11)*'Assumptions'!$D$12/'Assumptions'!$D$14,8),"Missing"))</x:f>
        <x:v>n.a.</x:v>
      </x:c>
      <x:c r="T13" s="52" t="str">
        <x:f>IF('Assumptions'!T19=0,"n.a.",IF(AND('Assumptions'!T19=1,COUNT('Funding'!T13,'Funding'!T10,'Funding'!T11)=3),ROUND('Funding'!T13-('Funding'!T10+'Funding'!T11)*'Assumptions'!$D$12/'Assumptions'!$D$14,8),"Missing"))</x:f>
        <x:v>n.a.</x:v>
      </x:c>
      <x:c r="U13" s="52" t="str">
        <x:f>IF('Assumptions'!U19=0,"n.a.",IF(AND('Assumptions'!U19=1,COUNT('Funding'!U13,'Funding'!U10,'Funding'!U11)=3),ROUND('Funding'!U13-('Funding'!U10+'Funding'!U11)*'Assumptions'!$D$12/'Assumptions'!$D$14,8),"Missing"))</x:f>
        <x:v>n.a.</x:v>
      </x:c>
      <x:c r="V13" s="52" t="str">
        <x:f>IF('Assumptions'!V19=0,"n.a.",IF(AND('Assumptions'!V19=1,COUNT('Funding'!V13,'Funding'!V10,'Funding'!V11)=3),ROUND('Funding'!V13-('Funding'!V10+'Funding'!V11)*'Assumptions'!$D$12/'Assumptions'!$D$14,8),"Missing"))</x:f>
        <x:v>n.a.</x:v>
      </x:c>
      <x:c r="W13" s="52" t="str">
        <x:f>IF('Assumptions'!W19=0,"n.a.",IF(AND('Assumptions'!W19=1,COUNT('Funding'!W13,'Funding'!W10,'Funding'!W11)=3),ROUND('Funding'!W13-('Funding'!W10+'Funding'!W11)*'Assumptions'!$D$12/'Assumptions'!$D$14,8),"Missing"))</x:f>
        <x:v>n.a.</x:v>
      </x:c>
      <x:c r="X13" s="52" t="str">
        <x:f>IF('Assumptions'!X19=0,"n.a.",IF(AND('Assumptions'!X19=1,COUNT('Funding'!X13,'Funding'!X10,'Funding'!X11)=3),ROUND('Funding'!X13-('Funding'!X10+'Funding'!X11)*'Assumptions'!$D$12/'Assumptions'!$D$14,8),"Missing"))</x:f>
        <x:v>n.a.</x:v>
      </x:c>
      <x:c r="Y13" s="52" t="str">
        <x:f>IF('Assumptions'!Y19=0,"n.a.",IF(AND('Assumptions'!Y19=1,COUNT('Funding'!Y13,'Funding'!Y10,'Funding'!Y11)=3),ROUND('Funding'!Y13-('Funding'!Y10+'Funding'!Y11)*'Assumptions'!$D$12/'Assumptions'!$D$14,8),"Missing"))</x:f>
        <x:v>n.a.</x:v>
      </x:c>
      <x:c r="Z13" s="52" t="str">
        <x:f>IF('Assumptions'!Z19=0,"n.a.",IF(AND('Assumptions'!Z19=1,COUNT('Funding'!Z13,'Funding'!Z10,'Funding'!Z11)=3),ROUND('Funding'!Z13-('Funding'!Z10+'Funding'!Z11)*'Assumptions'!$D$12/'Assumptions'!$D$14,8),"Missing"))</x:f>
        <x:v>n.a.</x:v>
      </x:c>
      <x:c r="AA13" s="52" t="str">
        <x:f>IF('Assumptions'!AA19=0,"n.a.",IF(AND('Assumptions'!AA19=1,COUNT('Funding'!AA13,'Funding'!AA10,'Funding'!AA11)=3),ROUND('Funding'!AA13-('Funding'!AA10+'Funding'!AA11)*'Assumptions'!$D$12/'Assumptions'!$D$14,8),"Missing"))</x:f>
        <x:v>n.a.</x:v>
      </x:c>
      <x:c r="AB13" s="52" t="str">
        <x:f>IF('Assumptions'!AB19=0,"n.a.",IF(AND('Assumptions'!AB19=1,COUNT('Funding'!AB13,'Funding'!AB10,'Funding'!AB11)=3),ROUND('Funding'!AB13-('Funding'!AB10+'Funding'!AB11)*'Assumptions'!$D$12/'Assumptions'!$D$14,8),"Missing"))</x:f>
        <x:v>n.a.</x:v>
      </x:c>
    </x:row>
    <x:row r="14" ht="23" customHeight="1">
      <x:c r="A14" s="1"/>
      <x:c r="B14" s="1"/>
      <x:c r="C14" s="1" t="str">
        <x:v>Independent cash identity</x:v>
      </x:c>
      <x:c r="D14" s="53"/>
      <x:c r="E14" s="52" t="str">
        <x:f>IF('Assumptions'!E19=0,"n.a.",IF(AND('Assumptions'!E19=1,COUNT('Funding'!E25,'Funding'!E16,'Collections'!E13,'Operations'!E17,'Operations'!E18,'Funding'!E20,'Funding'!E11,'Funding'!E12,'Funding'!E13)=9),ROUND('Funding'!E25-'Funding'!E16-'Collections'!E13+'Operations'!E17+'Operations'!E18+'Funding'!E20-'Funding'!E11+'Funding'!E12+'Funding'!E13,8),"Missing"))</x:f>
        <x:v>Missing</x:v>
      </x:c>
      <x:c r="F14" s="52" t="str">
        <x:f>IF('Assumptions'!F19=0,"n.a.",IF(AND('Assumptions'!F19=1,COUNT('Funding'!F25,'Funding'!F16,'Collections'!F13,'Operations'!F17,'Operations'!F18,'Funding'!F20,'Funding'!F11,'Funding'!F12,'Funding'!F13)=9),ROUND('Funding'!F25-'Funding'!F16-'Collections'!F13+'Operations'!F17+'Operations'!F18+'Funding'!F20-'Funding'!F11+'Funding'!F12+'Funding'!F13,8),"Missing"))</x:f>
        <x:v>Missing</x:v>
      </x:c>
      <x:c r="G14" s="52" t="str">
        <x:f>IF('Assumptions'!G19=0,"n.a.",IF(AND('Assumptions'!G19=1,COUNT('Funding'!G25,'Funding'!G16,'Collections'!G13,'Operations'!G17,'Operations'!G18,'Funding'!G20,'Funding'!G11,'Funding'!G12,'Funding'!G13)=9),ROUND('Funding'!G25-'Funding'!G16-'Collections'!G13+'Operations'!G17+'Operations'!G18+'Funding'!G20-'Funding'!G11+'Funding'!G12+'Funding'!G13,8),"Missing"))</x:f>
        <x:v>Missing</x:v>
      </x:c>
      <x:c r="H14" s="52" t="str">
        <x:f>IF('Assumptions'!H19=0,"n.a.",IF(AND('Assumptions'!H19=1,COUNT('Funding'!H25,'Funding'!H16,'Collections'!H13,'Operations'!H17,'Operations'!H18,'Funding'!H20,'Funding'!H11,'Funding'!H12,'Funding'!H13)=9),ROUND('Funding'!H25-'Funding'!H16-'Collections'!H13+'Operations'!H17+'Operations'!H18+'Funding'!H20-'Funding'!H11+'Funding'!H12+'Funding'!H13,8),"Missing"))</x:f>
        <x:v>Missing</x:v>
      </x:c>
      <x:c r="I14" s="52" t="str">
        <x:f>IF('Assumptions'!I19=0,"n.a.",IF(AND('Assumptions'!I19=1,COUNT('Funding'!I25,'Funding'!I16,'Collections'!I13,'Operations'!I17,'Operations'!I18,'Funding'!I20,'Funding'!I11,'Funding'!I12,'Funding'!I13)=9),ROUND('Funding'!I25-'Funding'!I16-'Collections'!I13+'Operations'!I17+'Operations'!I18+'Funding'!I20-'Funding'!I11+'Funding'!I12+'Funding'!I13,8),"Missing"))</x:f>
        <x:v>Missing</x:v>
      </x:c>
      <x:c r="J14" s="52" t="str">
        <x:f>IF('Assumptions'!J19=0,"n.a.",IF(AND('Assumptions'!J19=1,COUNT('Funding'!J25,'Funding'!J16,'Collections'!J13,'Operations'!J17,'Operations'!J18,'Funding'!J20,'Funding'!J11,'Funding'!J12,'Funding'!J13)=9),ROUND('Funding'!J25-'Funding'!J16-'Collections'!J13+'Operations'!J17+'Operations'!J18+'Funding'!J20-'Funding'!J11+'Funding'!J12+'Funding'!J13,8),"Missing"))</x:f>
        <x:v>Missing</x:v>
      </x:c>
      <x:c r="K14" s="52" t="str">
        <x:f>IF('Assumptions'!K19=0,"n.a.",IF(AND('Assumptions'!K19=1,COUNT('Funding'!K25,'Funding'!K16,'Collections'!K13,'Operations'!K17,'Operations'!K18,'Funding'!K20,'Funding'!K11,'Funding'!K12,'Funding'!K13)=9),ROUND('Funding'!K25-'Funding'!K16-'Collections'!K13+'Operations'!K17+'Operations'!K18+'Funding'!K20-'Funding'!K11+'Funding'!K12+'Funding'!K13,8),"Missing"))</x:f>
        <x:v>Missing</x:v>
      </x:c>
      <x:c r="L14" s="52" t="str">
        <x:f>IF('Assumptions'!L19=0,"n.a.",IF(AND('Assumptions'!L19=1,COUNT('Funding'!L25,'Funding'!L16,'Collections'!L13,'Operations'!L17,'Operations'!L18,'Funding'!L20,'Funding'!L11,'Funding'!L12,'Funding'!L13)=9),ROUND('Funding'!L25-'Funding'!L16-'Collections'!L13+'Operations'!L17+'Operations'!L18+'Funding'!L20-'Funding'!L11+'Funding'!L12+'Funding'!L13,8),"Missing"))</x:f>
        <x:v>Missing</x:v>
      </x:c>
      <x:c r="M14" s="52" t="str">
        <x:f>IF('Assumptions'!M19=0,"n.a.",IF(AND('Assumptions'!M19=1,COUNT('Funding'!M25,'Funding'!M16,'Collections'!M13,'Operations'!M17,'Operations'!M18,'Funding'!M20,'Funding'!M11,'Funding'!M12,'Funding'!M13)=9),ROUND('Funding'!M25-'Funding'!M16-'Collections'!M13+'Operations'!M17+'Operations'!M18+'Funding'!M20-'Funding'!M11+'Funding'!M12+'Funding'!M13,8),"Missing"))</x:f>
        <x:v>Missing</x:v>
      </x:c>
      <x:c r="N14" s="52" t="str">
        <x:f>IF('Assumptions'!N19=0,"n.a.",IF(AND('Assumptions'!N19=1,COUNT('Funding'!N25,'Funding'!N16,'Collections'!N13,'Operations'!N17,'Operations'!N18,'Funding'!N20,'Funding'!N11,'Funding'!N12,'Funding'!N13)=9),ROUND('Funding'!N25-'Funding'!N16-'Collections'!N13+'Operations'!N17+'Operations'!N18+'Funding'!N20-'Funding'!N11+'Funding'!N12+'Funding'!N13,8),"Missing"))</x:f>
        <x:v>Missing</x:v>
      </x:c>
      <x:c r="O14" s="52" t="str">
        <x:f>IF('Assumptions'!O19=0,"n.a.",IF(AND('Assumptions'!O19=1,COUNT('Funding'!O25,'Funding'!O16,'Collections'!O13,'Operations'!O17,'Operations'!O18,'Funding'!O20,'Funding'!O11,'Funding'!O12,'Funding'!O13)=9),ROUND('Funding'!O25-'Funding'!O16-'Collections'!O13+'Operations'!O17+'Operations'!O18+'Funding'!O20-'Funding'!O11+'Funding'!O12+'Funding'!O13,8),"Missing"))</x:f>
        <x:v>Missing</x:v>
      </x:c>
      <x:c r="P14" s="52" t="str">
        <x:f>IF('Assumptions'!P19=0,"n.a.",IF(AND('Assumptions'!P19=1,COUNT('Funding'!P25,'Funding'!P16,'Collections'!P13,'Operations'!P17,'Operations'!P18,'Funding'!P20,'Funding'!P11,'Funding'!P12,'Funding'!P13)=9),ROUND('Funding'!P25-'Funding'!P16-'Collections'!P13+'Operations'!P17+'Operations'!P18+'Funding'!P20-'Funding'!P11+'Funding'!P12+'Funding'!P13,8),"Missing"))</x:f>
        <x:v>Missing</x:v>
      </x:c>
      <x:c r="Q14" s="52" t="str">
        <x:f>IF('Assumptions'!Q19=0,"n.a.",IF(AND('Assumptions'!Q19=1,COUNT('Funding'!Q25,'Funding'!Q16,'Collections'!Q13,'Operations'!Q17,'Operations'!Q18,'Funding'!Q20,'Funding'!Q11,'Funding'!Q12,'Funding'!Q13)=9),ROUND('Funding'!Q25-'Funding'!Q16-'Collections'!Q13+'Operations'!Q17+'Operations'!Q18+'Funding'!Q20-'Funding'!Q11+'Funding'!Q12+'Funding'!Q13,8),"Missing"))</x:f>
        <x:v>n.a.</x:v>
      </x:c>
      <x:c r="R14" s="52" t="str">
        <x:f>IF('Assumptions'!R19=0,"n.a.",IF(AND('Assumptions'!R19=1,COUNT('Funding'!R25,'Funding'!R16,'Collections'!R13,'Operations'!R17,'Operations'!R18,'Funding'!R20,'Funding'!R11,'Funding'!R12,'Funding'!R13)=9),ROUND('Funding'!R25-'Funding'!R16-'Collections'!R13+'Operations'!R17+'Operations'!R18+'Funding'!R20-'Funding'!R11+'Funding'!R12+'Funding'!R13,8),"Missing"))</x:f>
        <x:v>n.a.</x:v>
      </x:c>
      <x:c r="S14" s="52" t="str">
        <x:f>IF('Assumptions'!S19=0,"n.a.",IF(AND('Assumptions'!S19=1,COUNT('Funding'!S25,'Funding'!S16,'Collections'!S13,'Operations'!S17,'Operations'!S18,'Funding'!S20,'Funding'!S11,'Funding'!S12,'Funding'!S13)=9),ROUND('Funding'!S25-'Funding'!S16-'Collections'!S13+'Operations'!S17+'Operations'!S18+'Funding'!S20-'Funding'!S11+'Funding'!S12+'Funding'!S13,8),"Missing"))</x:f>
        <x:v>n.a.</x:v>
      </x:c>
      <x:c r="T14" s="52" t="str">
        <x:f>IF('Assumptions'!T19=0,"n.a.",IF(AND('Assumptions'!T19=1,COUNT('Funding'!T25,'Funding'!T16,'Collections'!T13,'Operations'!T17,'Operations'!T18,'Funding'!T20,'Funding'!T11,'Funding'!T12,'Funding'!T13)=9),ROUND('Funding'!T25-'Funding'!T16-'Collections'!T13+'Operations'!T17+'Operations'!T18+'Funding'!T20-'Funding'!T11+'Funding'!T12+'Funding'!T13,8),"Missing"))</x:f>
        <x:v>n.a.</x:v>
      </x:c>
      <x:c r="U14" s="52" t="str">
        <x:f>IF('Assumptions'!U19=0,"n.a.",IF(AND('Assumptions'!U19=1,COUNT('Funding'!U25,'Funding'!U16,'Collections'!U13,'Operations'!U17,'Operations'!U18,'Funding'!U20,'Funding'!U11,'Funding'!U12,'Funding'!U13)=9),ROUND('Funding'!U25-'Funding'!U16-'Collections'!U13+'Operations'!U17+'Operations'!U18+'Funding'!U20-'Funding'!U11+'Funding'!U12+'Funding'!U13,8),"Missing"))</x:f>
        <x:v>n.a.</x:v>
      </x:c>
      <x:c r="V14" s="52" t="str">
        <x:f>IF('Assumptions'!V19=0,"n.a.",IF(AND('Assumptions'!V19=1,COUNT('Funding'!V25,'Funding'!V16,'Collections'!V13,'Operations'!V17,'Operations'!V18,'Funding'!V20,'Funding'!V11,'Funding'!V12,'Funding'!V13)=9),ROUND('Funding'!V25-'Funding'!V16-'Collections'!V13+'Operations'!V17+'Operations'!V18+'Funding'!V20-'Funding'!V11+'Funding'!V12+'Funding'!V13,8),"Missing"))</x:f>
        <x:v>n.a.</x:v>
      </x:c>
      <x:c r="W14" s="52" t="str">
        <x:f>IF('Assumptions'!W19=0,"n.a.",IF(AND('Assumptions'!W19=1,COUNT('Funding'!W25,'Funding'!W16,'Collections'!W13,'Operations'!W17,'Operations'!W18,'Funding'!W20,'Funding'!W11,'Funding'!W12,'Funding'!W13)=9),ROUND('Funding'!W25-'Funding'!W16-'Collections'!W13+'Operations'!W17+'Operations'!W18+'Funding'!W20-'Funding'!W11+'Funding'!W12+'Funding'!W13,8),"Missing"))</x:f>
        <x:v>n.a.</x:v>
      </x:c>
      <x:c r="X14" s="52" t="str">
        <x:f>IF('Assumptions'!X19=0,"n.a.",IF(AND('Assumptions'!X19=1,COUNT('Funding'!X25,'Funding'!X16,'Collections'!X13,'Operations'!X17,'Operations'!X18,'Funding'!X20,'Funding'!X11,'Funding'!X12,'Funding'!X13)=9),ROUND('Funding'!X25-'Funding'!X16-'Collections'!X13+'Operations'!X17+'Operations'!X18+'Funding'!X20-'Funding'!X11+'Funding'!X12+'Funding'!X13,8),"Missing"))</x:f>
        <x:v>n.a.</x:v>
      </x:c>
      <x:c r="Y14" s="52" t="str">
        <x:f>IF('Assumptions'!Y19=0,"n.a.",IF(AND('Assumptions'!Y19=1,COUNT('Funding'!Y25,'Funding'!Y16,'Collections'!Y13,'Operations'!Y17,'Operations'!Y18,'Funding'!Y20,'Funding'!Y11,'Funding'!Y12,'Funding'!Y13)=9),ROUND('Funding'!Y25-'Funding'!Y16-'Collections'!Y13+'Operations'!Y17+'Operations'!Y18+'Funding'!Y20-'Funding'!Y11+'Funding'!Y12+'Funding'!Y13,8),"Missing"))</x:f>
        <x:v>n.a.</x:v>
      </x:c>
      <x:c r="Z14" s="52" t="str">
        <x:f>IF('Assumptions'!Z19=0,"n.a.",IF(AND('Assumptions'!Z19=1,COUNT('Funding'!Z25,'Funding'!Z16,'Collections'!Z13,'Operations'!Z17,'Operations'!Z18,'Funding'!Z20,'Funding'!Z11,'Funding'!Z12,'Funding'!Z13)=9),ROUND('Funding'!Z25-'Funding'!Z16-'Collections'!Z13+'Operations'!Z17+'Operations'!Z18+'Funding'!Z20-'Funding'!Z11+'Funding'!Z12+'Funding'!Z13,8),"Missing"))</x:f>
        <x:v>n.a.</x:v>
      </x:c>
      <x:c r="AA14" s="52" t="str">
        <x:f>IF('Assumptions'!AA19=0,"n.a.",IF(AND('Assumptions'!AA19=1,COUNT('Funding'!AA25,'Funding'!AA16,'Collections'!AA13,'Operations'!AA17,'Operations'!AA18,'Funding'!AA20,'Funding'!AA11,'Funding'!AA12,'Funding'!AA13)=9),ROUND('Funding'!AA25-'Funding'!AA16-'Collections'!AA13+'Operations'!AA17+'Operations'!AA18+'Funding'!AA20-'Funding'!AA11+'Funding'!AA12+'Funding'!AA13,8),"Missing"))</x:f>
        <x:v>n.a.</x:v>
      </x:c>
      <x:c r="AB14" s="52" t="str">
        <x:f>IF('Assumptions'!AB19=0,"n.a.",IF(AND('Assumptions'!AB19=1,COUNT('Funding'!AB25,'Funding'!AB16,'Collections'!AB13,'Operations'!AB17,'Operations'!AB18,'Funding'!AB20,'Funding'!AB11,'Funding'!AB12,'Funding'!AB13)=9),ROUND('Funding'!AB25-'Funding'!AB16-'Collections'!AB13+'Operations'!AB17+'Operations'!AB18+'Funding'!AB20-'Funding'!AB11+'Funding'!AB12+'Funding'!AB13,8),"Missing"))</x:f>
        <x:v>n.a.</x:v>
      </x:c>
    </x:row>
    <x:row r="15" ht="23" customHeight="1">
      <x:c r="A15" s="1"/>
      <x:c r="B15" s="1"/>
      <x:c r="C15" s="1" t="str">
        <x:v>Opening cash links to prior close</x:v>
      </x:c>
      <x:c r="D15" s="53"/>
      <x:c r="E15" s="52" t="n">
        <x:f>IF('Assumptions'!E19=0,"n.a.",IF(AND('Assumptions'!E19=1,COUNT('Funding'!E16,'Sources'!$D$6)=2),ROUND('Funding'!E16-'Sources'!$D$6,8),"Missing"))</x:f>
        <x:v>0</x:v>
      </x:c>
      <x:c r="F15" s="52" t="str">
        <x:f>IF('Assumptions'!F19=0,"n.a.",IF(AND('Assumptions'!F19=1,COUNT('Funding'!F16,'Funding'!E25)=2),ROUND('Funding'!F16-'Funding'!E25,8),"Missing"))</x:f>
        <x:v>Missing</x:v>
      </x:c>
      <x:c r="G15" s="52" t="str">
        <x:f>IF('Assumptions'!G19=0,"n.a.",IF(AND('Assumptions'!G19=1,COUNT('Funding'!G16,'Funding'!F25)=2),ROUND('Funding'!G16-'Funding'!F25,8),"Missing"))</x:f>
        <x:v>Missing</x:v>
      </x:c>
      <x:c r="H15" s="52" t="str">
        <x:f>IF('Assumptions'!H19=0,"n.a.",IF(AND('Assumptions'!H19=1,COUNT('Funding'!H16,'Funding'!G25)=2),ROUND('Funding'!H16-'Funding'!G25,8),"Missing"))</x:f>
        <x:v>Missing</x:v>
      </x:c>
      <x:c r="I15" s="52" t="str">
        <x:f>IF('Assumptions'!I19=0,"n.a.",IF(AND('Assumptions'!I19=1,COUNT('Funding'!I16,'Funding'!H25)=2),ROUND('Funding'!I16-'Funding'!H25,8),"Missing"))</x:f>
        <x:v>Missing</x:v>
      </x:c>
      <x:c r="J15" s="52" t="str">
        <x:f>IF('Assumptions'!J19=0,"n.a.",IF(AND('Assumptions'!J19=1,COUNT('Funding'!J16,'Funding'!I25)=2),ROUND('Funding'!J16-'Funding'!I25,8),"Missing"))</x:f>
        <x:v>Missing</x:v>
      </x:c>
      <x:c r="K15" s="52" t="str">
        <x:f>IF('Assumptions'!K19=0,"n.a.",IF(AND('Assumptions'!K19=1,COUNT('Funding'!K16,'Funding'!J25)=2),ROUND('Funding'!K16-'Funding'!J25,8),"Missing"))</x:f>
        <x:v>Missing</x:v>
      </x:c>
      <x:c r="L15" s="52" t="str">
        <x:f>IF('Assumptions'!L19=0,"n.a.",IF(AND('Assumptions'!L19=1,COUNT('Funding'!L16,'Funding'!K25)=2),ROUND('Funding'!L16-'Funding'!K25,8),"Missing"))</x:f>
        <x:v>Missing</x:v>
      </x:c>
      <x:c r="M15" s="52" t="str">
        <x:f>IF('Assumptions'!M19=0,"n.a.",IF(AND('Assumptions'!M19=1,COUNT('Funding'!M16,'Funding'!L25)=2),ROUND('Funding'!M16-'Funding'!L25,8),"Missing"))</x:f>
        <x:v>Missing</x:v>
      </x:c>
      <x:c r="N15" s="52" t="str">
        <x:f>IF('Assumptions'!N19=0,"n.a.",IF(AND('Assumptions'!N19=1,COUNT('Funding'!N16,'Funding'!M25)=2),ROUND('Funding'!N16-'Funding'!M25,8),"Missing"))</x:f>
        <x:v>Missing</x:v>
      </x:c>
      <x:c r="O15" s="52" t="str">
        <x:f>IF('Assumptions'!O19=0,"n.a.",IF(AND('Assumptions'!O19=1,COUNT('Funding'!O16,'Funding'!N25)=2),ROUND('Funding'!O16-'Funding'!N25,8),"Missing"))</x:f>
        <x:v>Missing</x:v>
      </x:c>
      <x:c r="P15" s="52" t="str">
        <x:f>IF('Assumptions'!P19=0,"n.a.",IF(AND('Assumptions'!P19=1,COUNT('Funding'!P16,'Funding'!O25)=2),ROUND('Funding'!P16-'Funding'!O25,8),"Missing"))</x:f>
        <x:v>Missing</x:v>
      </x:c>
      <x:c r="Q15" s="52" t="str">
        <x:f>IF('Assumptions'!Q19=0,"n.a.",IF(AND('Assumptions'!Q19=1,COUNT('Funding'!Q16,'Funding'!P25)=2),ROUND('Funding'!Q16-'Funding'!P25,8),"Missing"))</x:f>
        <x:v>n.a.</x:v>
      </x:c>
      <x:c r="R15" s="52" t="str">
        <x:f>IF('Assumptions'!R19=0,"n.a.",IF(AND('Assumptions'!R19=1,COUNT('Funding'!R16,'Funding'!Q25)=2),ROUND('Funding'!R16-'Funding'!Q25,8),"Missing"))</x:f>
        <x:v>n.a.</x:v>
      </x:c>
      <x:c r="S15" s="52" t="str">
        <x:f>IF('Assumptions'!S19=0,"n.a.",IF(AND('Assumptions'!S19=1,COUNT('Funding'!S16,'Funding'!R25)=2),ROUND('Funding'!S16-'Funding'!R25,8),"Missing"))</x:f>
        <x:v>n.a.</x:v>
      </x:c>
      <x:c r="T15" s="52" t="str">
        <x:f>IF('Assumptions'!T19=0,"n.a.",IF(AND('Assumptions'!T19=1,COUNT('Funding'!T16,'Funding'!S25)=2),ROUND('Funding'!T16-'Funding'!S25,8),"Missing"))</x:f>
        <x:v>n.a.</x:v>
      </x:c>
      <x:c r="U15" s="52" t="str">
        <x:f>IF('Assumptions'!U19=0,"n.a.",IF(AND('Assumptions'!U19=1,COUNT('Funding'!U16,'Funding'!T25)=2),ROUND('Funding'!U16-'Funding'!T25,8),"Missing"))</x:f>
        <x:v>n.a.</x:v>
      </x:c>
      <x:c r="V15" s="52" t="str">
        <x:f>IF('Assumptions'!V19=0,"n.a.",IF(AND('Assumptions'!V19=1,COUNT('Funding'!V16,'Funding'!U25)=2),ROUND('Funding'!V16-'Funding'!U25,8),"Missing"))</x:f>
        <x:v>n.a.</x:v>
      </x:c>
      <x:c r="W15" s="52" t="str">
        <x:f>IF('Assumptions'!W19=0,"n.a.",IF(AND('Assumptions'!W19=1,COUNT('Funding'!W16,'Funding'!V25)=2),ROUND('Funding'!W16-'Funding'!V25,8),"Missing"))</x:f>
        <x:v>n.a.</x:v>
      </x:c>
      <x:c r="X15" s="52" t="str">
        <x:f>IF('Assumptions'!X19=0,"n.a.",IF(AND('Assumptions'!X19=1,COUNT('Funding'!X16,'Funding'!W25)=2),ROUND('Funding'!X16-'Funding'!W25,8),"Missing"))</x:f>
        <x:v>n.a.</x:v>
      </x:c>
      <x:c r="Y15" s="52" t="str">
        <x:f>IF('Assumptions'!Y19=0,"n.a.",IF(AND('Assumptions'!Y19=1,COUNT('Funding'!Y16,'Funding'!X25)=2),ROUND('Funding'!Y16-'Funding'!X25,8),"Missing"))</x:f>
        <x:v>n.a.</x:v>
      </x:c>
      <x:c r="Z15" s="52" t="str">
        <x:f>IF('Assumptions'!Z19=0,"n.a.",IF(AND('Assumptions'!Z19=1,COUNT('Funding'!Z16,'Funding'!Y25)=2),ROUND('Funding'!Z16-'Funding'!Y25,8),"Missing"))</x:f>
        <x:v>n.a.</x:v>
      </x:c>
      <x:c r="AA15" s="52" t="str">
        <x:f>IF('Assumptions'!AA19=0,"n.a.",IF(AND('Assumptions'!AA19=1,COUNT('Funding'!AA16,'Funding'!Z25)=2),ROUND('Funding'!AA16-'Funding'!Z25,8),"Missing"))</x:f>
        <x:v>n.a.</x:v>
      </x:c>
      <x:c r="AB15" s="52" t="str">
        <x:f>IF('Assumptions'!AB19=0,"n.a.",IF(AND('Assumptions'!AB19=1,COUNT('Funding'!AB16,'Funding'!AA25)=2),ROUND('Funding'!AB16-'Funding'!AA25,8),"Missing"))</x:f>
        <x:v>n.a.</x:v>
      </x:c>
    </x:row>
    <x:row r="16" ht="23" customHeight="1">
      <x:c r="A16" s="1"/>
      <x:c r="B16" s="1"/>
      <x:c r="C16" s="1" t="str">
        <x:v>Calendar continuity</x:v>
      </x:c>
      <x:c r="D16" s="53"/>
      <x:c r="E16" s="52" t="n">
        <x:f>IF('Assumptions'!E19=0,"n.a.",IF(AND('Assumptions'!E19=1,COUNT('Funding'!E7)=1),ROUND('Funding'!E7-EDATE('Assumptions'!$D$9,0),8),"Missing"))</x:f>
        <x:v>0</x:v>
      </x:c>
      <x:c r="F16" s="52" t="n">
        <x:f>IF('Assumptions'!F19=0,"n.a.",IF(AND('Assumptions'!F19=1,COUNT('Funding'!F7)=1),ROUND('Funding'!F7-EDATE('Assumptions'!$D$9,1),8),"Missing"))</x:f>
        <x:v>0</x:v>
      </x:c>
      <x:c r="G16" s="52" t="n">
        <x:f>IF('Assumptions'!G19=0,"n.a.",IF(AND('Assumptions'!G19=1,COUNT('Funding'!G7)=1),ROUND('Funding'!G7-EDATE('Assumptions'!$D$9,2),8),"Missing"))</x:f>
        <x:v>0</x:v>
      </x:c>
      <x:c r="H16" s="52" t="n">
        <x:f>IF('Assumptions'!H19=0,"n.a.",IF(AND('Assumptions'!H19=1,COUNT('Funding'!H7)=1),ROUND('Funding'!H7-EDATE('Assumptions'!$D$9,3),8),"Missing"))</x:f>
        <x:v>0</x:v>
      </x:c>
      <x:c r="I16" s="52" t="n">
        <x:f>IF('Assumptions'!I19=0,"n.a.",IF(AND('Assumptions'!I19=1,COUNT('Funding'!I7)=1),ROUND('Funding'!I7-EDATE('Assumptions'!$D$9,4),8),"Missing"))</x:f>
        <x:v>0</x:v>
      </x:c>
      <x:c r="J16" s="52" t="n">
        <x:f>IF('Assumptions'!J19=0,"n.a.",IF(AND('Assumptions'!J19=1,COUNT('Funding'!J7)=1),ROUND('Funding'!J7-EDATE('Assumptions'!$D$9,5),8),"Missing"))</x:f>
        <x:v>0</x:v>
      </x:c>
      <x:c r="K16" s="52" t="n">
        <x:f>IF('Assumptions'!K19=0,"n.a.",IF(AND('Assumptions'!K19=1,COUNT('Funding'!K7)=1),ROUND('Funding'!K7-EDATE('Assumptions'!$D$9,6),8),"Missing"))</x:f>
        <x:v>0</x:v>
      </x:c>
      <x:c r="L16" s="52" t="n">
        <x:f>IF('Assumptions'!L19=0,"n.a.",IF(AND('Assumptions'!L19=1,COUNT('Funding'!L7)=1),ROUND('Funding'!L7-EDATE('Assumptions'!$D$9,7),8),"Missing"))</x:f>
        <x:v>0</x:v>
      </x:c>
      <x:c r="M16" s="52" t="n">
        <x:f>IF('Assumptions'!M19=0,"n.a.",IF(AND('Assumptions'!M19=1,COUNT('Funding'!M7)=1),ROUND('Funding'!M7-EDATE('Assumptions'!$D$9,8),8),"Missing"))</x:f>
        <x:v>0</x:v>
      </x:c>
      <x:c r="N16" s="52" t="n">
        <x:f>IF('Assumptions'!N19=0,"n.a.",IF(AND('Assumptions'!N19=1,COUNT('Funding'!N7)=1),ROUND('Funding'!N7-EDATE('Assumptions'!$D$9,9),8),"Missing"))</x:f>
        <x:v>0</x:v>
      </x:c>
      <x:c r="O16" s="52" t="n">
        <x:f>IF('Assumptions'!O19=0,"n.a.",IF(AND('Assumptions'!O19=1,COUNT('Funding'!O7)=1),ROUND('Funding'!O7-EDATE('Assumptions'!$D$9,10),8),"Missing"))</x:f>
        <x:v>0</x:v>
      </x:c>
      <x:c r="P16" s="52" t="n">
        <x:f>IF('Assumptions'!P19=0,"n.a.",IF(AND('Assumptions'!P19=1,COUNT('Funding'!P7)=1),ROUND('Funding'!P7-EDATE('Assumptions'!$D$9,11),8),"Missing"))</x:f>
        <x:v>0</x:v>
      </x:c>
      <x:c r="Q16" s="52" t="str">
        <x:f>IF('Assumptions'!Q19=0,"n.a.",IF(AND('Assumptions'!Q19=1,COUNT('Funding'!Q7)=1),ROUND('Funding'!Q7-EDATE('Assumptions'!$D$9,12),8),"Missing"))</x:f>
        <x:v>n.a.</x:v>
      </x:c>
      <x:c r="R16" s="52" t="str">
        <x:f>IF('Assumptions'!R19=0,"n.a.",IF(AND('Assumptions'!R19=1,COUNT('Funding'!R7)=1),ROUND('Funding'!R7-EDATE('Assumptions'!$D$9,13),8),"Missing"))</x:f>
        <x:v>n.a.</x:v>
      </x:c>
      <x:c r="S16" s="52" t="str">
        <x:f>IF('Assumptions'!S19=0,"n.a.",IF(AND('Assumptions'!S19=1,COUNT('Funding'!S7)=1),ROUND('Funding'!S7-EDATE('Assumptions'!$D$9,14),8),"Missing"))</x:f>
        <x:v>n.a.</x:v>
      </x:c>
      <x:c r="T16" s="52" t="str">
        <x:f>IF('Assumptions'!T19=0,"n.a.",IF(AND('Assumptions'!T19=1,COUNT('Funding'!T7)=1),ROUND('Funding'!T7-EDATE('Assumptions'!$D$9,15),8),"Missing"))</x:f>
        <x:v>n.a.</x:v>
      </x:c>
      <x:c r="U16" s="52" t="str">
        <x:f>IF('Assumptions'!U19=0,"n.a.",IF(AND('Assumptions'!U19=1,COUNT('Funding'!U7)=1),ROUND('Funding'!U7-EDATE('Assumptions'!$D$9,16),8),"Missing"))</x:f>
        <x:v>n.a.</x:v>
      </x:c>
      <x:c r="V16" s="52" t="str">
        <x:f>IF('Assumptions'!V19=0,"n.a.",IF(AND('Assumptions'!V19=1,COUNT('Funding'!V7)=1),ROUND('Funding'!V7-EDATE('Assumptions'!$D$9,17),8),"Missing"))</x:f>
        <x:v>n.a.</x:v>
      </x:c>
      <x:c r="W16" s="52" t="str">
        <x:f>IF('Assumptions'!W19=0,"n.a.",IF(AND('Assumptions'!W19=1,COUNT('Funding'!W7)=1),ROUND('Funding'!W7-EDATE('Assumptions'!$D$9,18),8),"Missing"))</x:f>
        <x:v>n.a.</x:v>
      </x:c>
      <x:c r="X16" s="52" t="str">
        <x:f>IF('Assumptions'!X19=0,"n.a.",IF(AND('Assumptions'!X19=1,COUNT('Funding'!X7)=1),ROUND('Funding'!X7-EDATE('Assumptions'!$D$9,19),8),"Missing"))</x:f>
        <x:v>n.a.</x:v>
      </x:c>
      <x:c r="Y16" s="52" t="str">
        <x:f>IF('Assumptions'!Y19=0,"n.a.",IF(AND('Assumptions'!Y19=1,COUNT('Funding'!Y7)=1),ROUND('Funding'!Y7-EDATE('Assumptions'!$D$9,20),8),"Missing"))</x:f>
        <x:v>n.a.</x:v>
      </x:c>
      <x:c r="Z16" s="52" t="str">
        <x:f>IF('Assumptions'!Z19=0,"n.a.",IF(AND('Assumptions'!Z19=1,COUNT('Funding'!Z7)=1),ROUND('Funding'!Z7-EDATE('Assumptions'!$D$9,21),8),"Missing"))</x:f>
        <x:v>n.a.</x:v>
      </x:c>
      <x:c r="AA16" s="52" t="str">
        <x:f>IF('Assumptions'!AA19=0,"n.a.",IF(AND('Assumptions'!AA19=1,COUNT('Funding'!AA7)=1),ROUND('Funding'!AA7-EDATE('Assumptions'!$D$9,22),8),"Missing"))</x:f>
        <x:v>n.a.</x:v>
      </x:c>
      <x:c r="AB16" s="52" t="str">
        <x:f>IF('Assumptions'!AB19=0,"n.a.",IF(AND('Assumptions'!AB19=1,COUNT('Funding'!AB7)=1),ROUND('Funding'!AB7-EDATE('Assumptions'!$D$9,23),8),"Missing"))</x:f>
        <x:v>n.a.</x:v>
      </x:c>
    </x:row>
    <x:row r="17" ht="23" customHeight="1">
      <x:c r="A17" s="1"/>
      <x:c r="B17" s="1"/>
      <x:c r="C17" s="1" t="str">
        <x:v>Active required outputs missing</x:v>
      </x:c>
      <x:c r="D17" s="53"/>
      <x:c r="E17" s="52" t="str">
        <x:f>IF('Assumptions'!E19=0,"n.a.",IF(AND('Assumptions'!E19=1,COUNT('Operations'!E15,'Collections'!E13,'Funding'!E25,'Funding'!E14)=4),0,"Missing"))</x:f>
        <x:v>Missing</x:v>
      </x:c>
      <x:c r="F17" s="52" t="str">
        <x:f>IF('Assumptions'!F19=0,"n.a.",IF(AND('Assumptions'!F19=1,COUNT('Operations'!F15,'Collections'!F13,'Funding'!F25,'Funding'!F14)=4),0,"Missing"))</x:f>
        <x:v>Missing</x:v>
      </x:c>
      <x:c r="G17" s="52" t="str">
        <x:f>IF('Assumptions'!G19=0,"n.a.",IF(AND('Assumptions'!G19=1,COUNT('Operations'!G15,'Collections'!G13,'Funding'!G25,'Funding'!G14)=4),0,"Missing"))</x:f>
        <x:v>Missing</x:v>
      </x:c>
      <x:c r="H17" s="52" t="str">
        <x:f>IF('Assumptions'!H19=0,"n.a.",IF(AND('Assumptions'!H19=1,COUNT('Operations'!H15,'Collections'!H13,'Funding'!H25,'Funding'!H14)=4),0,"Missing"))</x:f>
        <x:v>Missing</x:v>
      </x:c>
      <x:c r="I17" s="52" t="str">
        <x:f>IF('Assumptions'!I19=0,"n.a.",IF(AND('Assumptions'!I19=1,COUNT('Operations'!I15,'Collections'!I13,'Funding'!I25,'Funding'!I14)=4),0,"Missing"))</x:f>
        <x:v>Missing</x:v>
      </x:c>
      <x:c r="J17" s="52" t="str">
        <x:f>IF('Assumptions'!J19=0,"n.a.",IF(AND('Assumptions'!J19=1,COUNT('Operations'!J15,'Collections'!J13,'Funding'!J25,'Funding'!J14)=4),0,"Missing"))</x:f>
        <x:v>Missing</x:v>
      </x:c>
      <x:c r="K17" s="52" t="str">
        <x:f>IF('Assumptions'!K19=0,"n.a.",IF(AND('Assumptions'!K19=1,COUNT('Operations'!K15,'Collections'!K13,'Funding'!K25,'Funding'!K14)=4),0,"Missing"))</x:f>
        <x:v>Missing</x:v>
      </x:c>
      <x:c r="L17" s="52" t="str">
        <x:f>IF('Assumptions'!L19=0,"n.a.",IF(AND('Assumptions'!L19=1,COUNT('Operations'!L15,'Collections'!L13,'Funding'!L25,'Funding'!L14)=4),0,"Missing"))</x:f>
        <x:v>Missing</x:v>
      </x:c>
      <x:c r="M17" s="52" t="str">
        <x:f>IF('Assumptions'!M19=0,"n.a.",IF(AND('Assumptions'!M19=1,COUNT('Operations'!M15,'Collections'!M13,'Funding'!M25,'Funding'!M14)=4),0,"Missing"))</x:f>
        <x:v>Missing</x:v>
      </x:c>
      <x:c r="N17" s="52" t="str">
        <x:f>IF('Assumptions'!N19=0,"n.a.",IF(AND('Assumptions'!N19=1,COUNT('Operations'!N15,'Collections'!N13,'Funding'!N25,'Funding'!N14)=4),0,"Missing"))</x:f>
        <x:v>Missing</x:v>
      </x:c>
      <x:c r="O17" s="52" t="str">
        <x:f>IF('Assumptions'!O19=0,"n.a.",IF(AND('Assumptions'!O19=1,COUNT('Operations'!O15,'Collections'!O13,'Funding'!O25,'Funding'!O14)=4),0,"Missing"))</x:f>
        <x:v>Missing</x:v>
      </x:c>
      <x:c r="P17" s="52" t="str">
        <x:f>IF('Assumptions'!P19=0,"n.a.",IF(AND('Assumptions'!P19=1,COUNT('Operations'!P15,'Collections'!P13,'Funding'!P25,'Funding'!P14)=4),0,"Missing"))</x:f>
        <x:v>Missing</x:v>
      </x:c>
      <x:c r="Q17" s="52" t="str">
        <x:f>IF('Assumptions'!Q19=0,"n.a.",IF(AND('Assumptions'!Q19=1,COUNT('Operations'!Q15,'Collections'!Q13,'Funding'!Q25,'Funding'!Q14)=4),0,"Missing"))</x:f>
        <x:v>n.a.</x:v>
      </x:c>
      <x:c r="R17" s="52" t="str">
        <x:f>IF('Assumptions'!R19=0,"n.a.",IF(AND('Assumptions'!R19=1,COUNT('Operations'!R15,'Collections'!R13,'Funding'!R25,'Funding'!R14)=4),0,"Missing"))</x:f>
        <x:v>n.a.</x:v>
      </x:c>
      <x:c r="S17" s="52" t="str">
        <x:f>IF('Assumptions'!S19=0,"n.a.",IF(AND('Assumptions'!S19=1,COUNT('Operations'!S15,'Collections'!S13,'Funding'!S25,'Funding'!S14)=4),0,"Missing"))</x:f>
        <x:v>n.a.</x:v>
      </x:c>
      <x:c r="T17" s="52" t="str">
        <x:f>IF('Assumptions'!T19=0,"n.a.",IF(AND('Assumptions'!T19=1,COUNT('Operations'!T15,'Collections'!T13,'Funding'!T25,'Funding'!T14)=4),0,"Missing"))</x:f>
        <x:v>n.a.</x:v>
      </x:c>
      <x:c r="U17" s="52" t="str">
        <x:f>IF('Assumptions'!U19=0,"n.a.",IF(AND('Assumptions'!U19=1,COUNT('Operations'!U15,'Collections'!U13,'Funding'!U25,'Funding'!U14)=4),0,"Missing"))</x:f>
        <x:v>n.a.</x:v>
      </x:c>
      <x:c r="V17" s="52" t="str">
        <x:f>IF('Assumptions'!V19=0,"n.a.",IF(AND('Assumptions'!V19=1,COUNT('Operations'!V15,'Collections'!V13,'Funding'!V25,'Funding'!V14)=4),0,"Missing"))</x:f>
        <x:v>n.a.</x:v>
      </x:c>
      <x:c r="W17" s="52" t="str">
        <x:f>IF('Assumptions'!W19=0,"n.a.",IF(AND('Assumptions'!W19=1,COUNT('Operations'!W15,'Collections'!W13,'Funding'!W25,'Funding'!W14)=4),0,"Missing"))</x:f>
        <x:v>n.a.</x:v>
      </x:c>
      <x:c r="X17" s="52" t="str">
        <x:f>IF('Assumptions'!X19=0,"n.a.",IF(AND('Assumptions'!X19=1,COUNT('Operations'!X15,'Collections'!X13,'Funding'!X25,'Funding'!X14)=4),0,"Missing"))</x:f>
        <x:v>n.a.</x:v>
      </x:c>
      <x:c r="Y17" s="52" t="str">
        <x:f>IF('Assumptions'!Y19=0,"n.a.",IF(AND('Assumptions'!Y19=1,COUNT('Operations'!Y15,'Collections'!Y13,'Funding'!Y25,'Funding'!Y14)=4),0,"Missing"))</x:f>
        <x:v>n.a.</x:v>
      </x:c>
      <x:c r="Z17" s="52" t="str">
        <x:f>IF('Assumptions'!Z19=0,"n.a.",IF(AND('Assumptions'!Z19=1,COUNT('Operations'!Z15,'Collections'!Z13,'Funding'!Z25,'Funding'!Z14)=4),0,"Missing"))</x:f>
        <x:v>n.a.</x:v>
      </x:c>
      <x:c r="AA17" s="52" t="str">
        <x:f>IF('Assumptions'!AA19=0,"n.a.",IF(AND('Assumptions'!AA19=1,COUNT('Operations'!AA15,'Collections'!AA13,'Funding'!AA25,'Funding'!AA14)=4),0,"Missing"))</x:f>
        <x:v>n.a.</x:v>
      </x:c>
      <x:c r="AB17" s="52" t="str">
        <x:f>IF('Assumptions'!AB19=0,"n.a.",IF(AND('Assumptions'!AB19=1,COUNT('Operations'!AB15,'Collections'!AB13,'Funding'!AB25,'Funding'!AB14)=4),0,"Missing"))</x:f>
        <x:v>n.a.</x:v>
      </x:c>
    </x:row>
    <x:row r="18" ht="23" customHeight="1">
      <x:c r="A18" s="1"/>
      <x:c r="B18" s="1"/>
      <x:c r="C18" s="1"/>
      <x:c r="D18" s="3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  <x:c r="AA18" s="4"/>
      <x:c r="AB18" s="4"/>
    </x:row>
    <x:row r="19" ht="23" customHeight="1">
      <x:c r="A19" s="1"/>
      <x:c r="B19" s="1"/>
      <x:c r="C19" s="1"/>
      <x:c r="D19" s="3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  <x:c r="AA19" s="4"/>
      <x:c r="AB19" s="4"/>
    </x:row>
    <x:row r="20" ht="23" customHeight="1">
      <x:c r="A20" s="1"/>
      <x:c r="B20" s="1"/>
      <x:c r="C20" s="1" t="str">
        <x:v>Repair one fault at a time; restore formulas and baseline after each test.</x:v>
      </x:c>
      <x:c r="D20" s="3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  <x:c r="AA20" s="4"/>
      <x:c r="AB20" s="4"/>
    </x:row>
    <x:row r="21" ht="23" customHeight="1">
      <x:c r="A21" s="1"/>
      <x:c r="B21" s="1"/>
      <x:c r="C21" s="1" t="str">
        <x:v>Numerical checks do not approve design choices or the written handoff.</x:v>
      </x:c>
      <x:c r="D21" s="3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  <x:c r="AA21" s="4"/>
      <x:c r="AB21" s="4"/>
    </x:row>
    <x:row r="22" ht="23" customHeight="1">
      <x:c r="A22" s="1"/>
      <x:c r="B22" s="1"/>
      <x:c r="C22" s="1"/>
      <x:c r="D22" s="3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  <x:c r="AA22" s="4"/>
      <x:c r="AB22" s="4"/>
    </x:row>
    <x:row r="23" ht="23" customHeight="1">
      <x:c r="A23" s="1"/>
      <x:c r="B23" s="1"/>
      <x:c r="C23" s="1"/>
      <x:c r="D23" s="3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  <x:c r="AA23" s="4"/>
      <x:c r="AB23" s="4"/>
    </x:row>
    <x:row r="24" ht="23" customHeight="1">
      <x:c r="A24" s="1"/>
      <x:c r="B24" s="1"/>
      <x:c r="C24" s="1" t="str">
        <x:v>Purpose and recommendation</x:v>
      </x:c>
      <x:c r="D24" s="3"/>
      <x:c r="E24" s="55"/>
      <x:c r="F24" s="55"/>
      <x:c r="G24" s="55"/>
      <x:c r="H24" s="55"/>
      <x:c r="I24" s="55"/>
      <x:c r="J24" s="55"/>
      <x:c r="K24" s="55"/>
      <x:c r="L24" s="55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  <x:c r="AA24" s="4"/>
      <x:c r="AB24" s="4"/>
    </x:row>
    <x:row r="25" ht="23" customHeight="1">
      <x:c r="A25" s="1"/>
      <x:c r="B25" s="1"/>
      <x:c r="C25" s="1"/>
      <x:c r="D25" s="3"/>
      <x:c r="E25" s="55"/>
      <x:c r="F25" s="55"/>
      <x:c r="G25" s="55"/>
      <x:c r="H25" s="55"/>
      <x:c r="I25" s="55"/>
      <x:c r="J25" s="55"/>
      <x:c r="K25" s="55"/>
      <x:c r="L25" s="55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  <x:c r="AA25" s="4"/>
      <x:c r="AB25" s="4"/>
    </x:row>
    <x:row r="26" ht="23" customHeight="1">
      <x:c r="A26" s="1"/>
      <x:c r="B26" s="1"/>
      <x:c r="C26" s="1"/>
      <x:c r="D26" s="3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  <x:c r="AA26" s="4"/>
      <x:c r="AB26" s="4"/>
    </x:row>
    <x:row r="27" ht="23" customHeight="1">
      <x:c r="A27" s="1"/>
      <x:c r="B27" s="1"/>
      <x:c r="C27" s="1" t="str">
        <x:v>Inputs and source versions</x:v>
      </x:c>
      <x:c r="D27" s="3"/>
      <x:c r="E27" s="55"/>
      <x:c r="F27" s="55"/>
      <x:c r="G27" s="55"/>
      <x:c r="H27" s="55"/>
      <x:c r="I27" s="55"/>
      <x:c r="J27" s="55"/>
      <x:c r="K27" s="55"/>
      <x:c r="L27" s="55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  <x:c r="AA27" s="4"/>
      <x:c r="AB27" s="4"/>
    </x:row>
    <x:row r="28" ht="23" customHeight="1">
      <x:c r="A28" s="1"/>
      <x:c r="B28" s="1"/>
      <x:c r="C28" s="1"/>
      <x:c r="D28" s="3"/>
      <x:c r="E28" s="55"/>
      <x:c r="F28" s="55"/>
      <x:c r="G28" s="55"/>
      <x:c r="H28" s="55"/>
      <x:c r="I28" s="55"/>
      <x:c r="J28" s="55"/>
      <x:c r="K28" s="55"/>
      <x:c r="L28" s="55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  <x:c r="AA28" s="4"/>
      <x:c r="AB28" s="4"/>
    </x:row>
    <x:row r="29" ht="23" customHeight="1">
      <x:c r="A29" s="1"/>
      <x:c r="B29" s="1"/>
      <x:c r="C29" s="1"/>
      <x:c r="D29" s="3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  <x:c r="AA29" s="4"/>
      <x:c r="AB29" s="4"/>
    </x:row>
    <x:row r="30" ht="23" customHeight="1">
      <x:c r="A30" s="1"/>
      <x:c r="B30" s="1"/>
      <x:c r="C30" s="1" t="str">
        <x:v>Dependencies and change procedure</x:v>
      </x:c>
      <x:c r="D30" s="3"/>
      <x:c r="E30" s="55"/>
      <x:c r="F30" s="55"/>
      <x:c r="G30" s="55"/>
      <x:c r="H30" s="55"/>
      <x:c r="I30" s="55"/>
      <x:c r="J30" s="55"/>
      <x:c r="K30" s="55"/>
      <x:c r="L30" s="55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  <x:c r="AA30" s="4"/>
      <x:c r="AB30" s="4"/>
    </x:row>
    <x:row r="31" ht="23" customHeight="1">
      <x:c r="A31" s="1"/>
      <x:c r="B31" s="1"/>
      <x:c r="C31" s="1"/>
      <x:c r="D31" s="3"/>
      <x:c r="E31" s="55"/>
      <x:c r="F31" s="55"/>
      <x:c r="G31" s="55"/>
      <x:c r="H31" s="55"/>
      <x:c r="I31" s="55"/>
      <x:c r="J31" s="55"/>
      <x:c r="K31" s="55"/>
      <x:c r="L31" s="55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  <x:c r="AA31" s="4"/>
      <x:c r="AB31" s="4"/>
    </x:row>
    <x:row r="32" ht="23" customHeight="1">
      <x:c r="A32" s="1"/>
      <x:c r="B32" s="1"/>
      <x:c r="C32" s="1"/>
      <x:c r="D32" s="3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  <x:c r="AA32" s="4"/>
      <x:c r="AB32" s="4"/>
    </x:row>
    <x:row r="33" ht="23" customHeight="1">
      <x:c r="A33" s="1"/>
      <x:c r="B33" s="1"/>
      <x:c r="C33" s="1" t="str">
        <x:v>Limitations and evidence still needed</x:v>
      </x:c>
      <x:c r="D33" s="3"/>
      <x:c r="E33" s="55"/>
      <x:c r="F33" s="55"/>
      <x:c r="G33" s="55"/>
      <x:c r="H33" s="55"/>
      <x:c r="I33" s="55"/>
      <x:c r="J33" s="55"/>
      <x:c r="K33" s="55"/>
      <x:c r="L33" s="55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  <x:c r="AA33" s="4"/>
      <x:c r="AB33" s="4"/>
    </x:row>
    <x:row r="34" ht="23" customHeight="1">
      <x:c r="A34" s="1"/>
      <x:c r="B34" s="1"/>
      <x:c r="C34" s="1"/>
      <x:c r="D34" s="3"/>
      <x:c r="E34" s="55"/>
      <x:c r="F34" s="55"/>
      <x:c r="G34" s="55"/>
      <x:c r="H34" s="55"/>
      <x:c r="I34" s="55"/>
      <x:c r="J34" s="55"/>
      <x:c r="K34" s="55"/>
      <x:c r="L34" s="55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  <x:c r="AA34" s="4"/>
      <x:c r="AB34" s="4"/>
    </x:row>
    <x:row r="35" ht="23" customHeight="1">
      <x:c r="A35" s="1"/>
      <x:c r="B35" s="1"/>
      <x:c r="C35" s="1"/>
      <x:c r="D35" s="3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  <x:c r="AA35" s="4"/>
      <x:c r="AB35" s="4"/>
    </x:row>
    <x:row r="36" ht="23" customHeight="1">
      <x:c r="A36" s="1"/>
      <x:c r="B36" s="1"/>
      <x:c r="C36" s="1" t="str">
        <x:v>Circularity policy and timing</x:v>
      </x:c>
      <x:c r="D36" s="3"/>
      <x:c r="E36" s="55"/>
      <x:c r="F36" s="55"/>
      <x:c r="G36" s="55"/>
      <x:c r="H36" s="55"/>
      <x:c r="I36" s="55"/>
      <x:c r="J36" s="55"/>
      <x:c r="K36" s="55"/>
      <x:c r="L36" s="55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  <x:c r="AA36" s="4"/>
      <x:c r="AB36" s="4"/>
    </x:row>
    <x:row r="37" ht="23" customHeight="1">
      <x:c r="A37" s="1"/>
      <x:c r="B37" s="1"/>
      <x:c r="C37" s="1"/>
      <x:c r="D37" s="3"/>
      <x:c r="E37" s="55"/>
      <x:c r="F37" s="55"/>
      <x:c r="G37" s="55"/>
      <x:c r="H37" s="55"/>
      <x:c r="I37" s="55"/>
      <x:c r="J37" s="55"/>
      <x:c r="K37" s="55"/>
      <x:c r="L37" s="55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  <x:c r="AA37" s="4"/>
      <x:c r="AB37" s="4"/>
    </x:row>
    <x:row r="38" ht="23" customHeight="1">
      <x:c r="A38" s="1"/>
      <x:c r="B38" s="1"/>
      <x:c r="C38" s="1"/>
      <x:c r="D38" s="3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  <x:c r="AA38" s="4"/>
      <x:c r="AB38" s="4"/>
    </x:row>
    <x:row r="39" ht="23" customHeight="1">
      <x:c r="A39" s="1"/>
      <x:c r="B39" s="1"/>
      <x:c r="C39" s="1" t="str">
        <x:v>Tests, version and named/self reviewer</x:v>
      </x:c>
      <x:c r="D39" s="3"/>
      <x:c r="E39" s="55"/>
      <x:c r="F39" s="55"/>
      <x:c r="G39" s="55"/>
      <x:c r="H39" s="55"/>
      <x:c r="I39" s="55"/>
      <x:c r="J39" s="55"/>
      <x:c r="K39" s="55"/>
      <x:c r="L39" s="55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  <x:c r="AA39" s="4"/>
      <x:c r="AB39" s="4"/>
    </x:row>
    <x:row r="40" ht="23" customHeight="1">
      <x:c r="A40" s="1"/>
      <x:c r="B40" s="1"/>
      <x:c r="C40" s="1"/>
      <x:c r="D40" s="3"/>
      <x:c r="E40" s="55"/>
      <x:c r="F40" s="55"/>
      <x:c r="G40" s="55"/>
      <x:c r="H40" s="55"/>
      <x:c r="I40" s="55"/>
      <x:c r="J40" s="55"/>
      <x:c r="K40" s="55"/>
      <x:c r="L40" s="55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  <x:c r="AA40" s="4"/>
      <x:c r="AB40" s="4"/>
    </x:row>
    <x:row r="41" ht="23" customHeight="1">
      <x:c r="A41" s="1"/>
      <x:c r="B41" s="1"/>
      <x:c r="C41" s="1"/>
      <x:c r="D41" s="3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  <x:c r="AA41" s="4"/>
      <x:c r="AB41" s="4"/>
    </x:row>
    <x:row r="42" ht="23" customHeight="1">
      <x:c r="A42" s="1"/>
      <x:c r="B42" s="1"/>
      <x:c r="C42" s="1" t="str">
        <x:v>Handoff responses still needed</x:v>
      </x:c>
      <x:c r="D42" s="3" t="n">
        <x:f>6-COUNTA(E24,E27,E30,E33,E36,E39)</x:f>
        <x:v>6</x:v>
      </x:c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  <x:c r="AA42" s="4"/>
      <x:c r="AB42" s="4"/>
    </x:row>
    <x:row r="43" ht="23" customHeight="1">
      <x:c r="A43" s="1"/>
      <x:c r="B43" s="1"/>
      <x:c r="C43" s="1"/>
      <x:c r="D43" s="3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  <x:c r="AA43" s="4"/>
      <x:c r="AB43" s="4"/>
    </x:row>
    <x:row r="44" ht="23" customHeight="1">
      <x:c r="A44" s="1"/>
      <x:c r="B44" s="1"/>
      <x:c r="C44" s="1" t="str">
        <x:v>Sensitivity log: saved snapshots only. Rerun after any model change.</x:v>
      </x:c>
      <x:c r="D44" s="3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  <x:c r="AA44" s="4"/>
      <x:c r="AB44" s="4"/>
    </x:row>
    <x:row r="45" ht="23" customHeight="1">
      <x:c r="A45" s="1"/>
      <x:c r="B45" s="1"/>
      <x:c r="C45" s="1"/>
      <x:c r="D45" s="3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  <x:c r="AA45" s="4"/>
      <x:c r="AB45" s="4"/>
    </x:row>
    <x:row r="46" ht="38" customHeight="1">
      <x:c r="A46" s="1"/>
      <x:c r="B46" s="1"/>
      <x:c r="C46" s="58" t="str">
        <x:v>Version / case</x:v>
      </x:c>
      <x:c r="D46" s="59" t="str">
        <x:v>Horizon</x:v>
      </x:c>
      <x:c r="E46" s="60" t="str">
        <x:v>Changed cells</x:v>
      </x:c>
      <x:c r="F46" s="60" t="str">
        <x:v>Old values</x:v>
      </x:c>
      <x:c r="G46" s="60" t="str">
        <x:v>New values</x:v>
      </x:c>
      <x:c r="H46" s="60" t="str">
        <x:v>Prediction</x:v>
      </x:c>
      <x:c r="I46" s="60" t="str">
        <x:v>Observed result</x:v>
      </x:c>
      <x:c r="J46" s="60" t="str">
        <x:v>Restore check</x:v>
      </x:c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  <x:c r="AA46" s="4"/>
      <x:c r="AB46" s="4"/>
    </x:row>
    <x:row r="47" ht="38" customHeight="1">
      <x:c r="A47" s="1"/>
      <x:c r="B47" s="1"/>
      <x:c r="C47" s="61"/>
      <x:c r="D47" s="62"/>
      <x:c r="E47" s="55"/>
      <x:c r="F47" s="55"/>
      <x:c r="G47" s="55"/>
      <x:c r="H47" s="55"/>
      <x:c r="I47" s="55"/>
      <x:c r="J47" s="55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  <x:c r="AA47" s="4"/>
      <x:c r="AB47" s="4"/>
    </x:row>
    <x:row r="48" ht="38" customHeight="1">
      <x:c r="A48" s="1"/>
      <x:c r="B48" s="1"/>
      <x:c r="C48" s="61"/>
      <x:c r="D48" s="62"/>
      <x:c r="E48" s="55"/>
      <x:c r="F48" s="55"/>
      <x:c r="G48" s="55"/>
      <x:c r="H48" s="55"/>
      <x:c r="I48" s="55"/>
      <x:c r="J48" s="55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  <x:c r="AA48" s="4"/>
      <x:c r="AB48" s="4"/>
    </x:row>
    <x:row r="49" ht="38" customHeight="1">
      <x:c r="A49" s="1"/>
      <x:c r="B49" s="1"/>
      <x:c r="C49" s="61"/>
      <x:c r="D49" s="62"/>
      <x:c r="E49" s="55"/>
      <x:c r="F49" s="55"/>
      <x:c r="G49" s="55"/>
      <x:c r="H49" s="55"/>
      <x:c r="I49" s="55"/>
      <x:c r="J49" s="55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</x:row>
    <x:row r="50" ht="38" customHeight="1">
      <x:c r="A50" s="1"/>
      <x:c r="B50" s="1"/>
      <x:c r="C50" s="61"/>
      <x:c r="D50" s="62"/>
      <x:c r="E50" s="55"/>
      <x:c r="F50" s="55"/>
      <x:c r="G50" s="55"/>
      <x:c r="H50" s="55"/>
      <x:c r="I50" s="55"/>
      <x:c r="J50" s="55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</x:row>
  </x:sheetData>
  <x:mergeCells>
    <x:mergeCell ref="E24:L25"/>
    <x:mergeCell ref="E27:L28"/>
    <x:mergeCell ref="E30:L31"/>
    <x:mergeCell ref="E33:L34"/>
    <x:mergeCell ref="E36:L37"/>
    <x:mergeCell ref="E39:L40"/>
  </x:mergeCells>
  <x:conditionalFormatting sqref="E10:AB17">
    <x:cfRule type="expression" dxfId="0" priority="1">
      <x:formula>IF(ISNUMBER(E10),ABS(E10)&gt;0.000001,E10="Missing")</x:formula>
    </x:cfRule>
  </x:conditionalFormatting>
  <x:conditionalFormatting sqref="D6:D9">
    <x:cfRule type="expression" dxfId="1" priority="2">
      <x:formula>IF(ISNUMBER(D6),ABS(D6)&gt;0.000001,D6="Missing")</x:formula>
    </x:cfRule>
  </x:conditionalFormatting>
  <x:pageMargins left="0.7" right="0.7" top="0.75" bottom="0.75" header="0.3" footer="0.3"/>
</x:worksheet>
</file>